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930" windowHeight="12015" firstSheet="1" activeTab="1"/>
  </bookViews>
  <sheets>
    <sheet name="Bluffton-Okatie" sheetId="1" r:id="rId1"/>
    <sheet name="Hilton Head-Daufuskie" sheetId="2" r:id="rId2"/>
    <sheet name="Northern Beaufort County" sheetId="3" r:id="rId3"/>
    <sheet name="CostperVMTCalcs" sheetId="4" r:id="rId4"/>
    <sheet name="CreditCalculations1" sheetId="5" r:id="rId5"/>
  </sheets>
  <definedNames>
    <definedName name="_xlnm.Print_Area" localSheetId="0">'Bluffton-Okatie'!$A$1:$P$48</definedName>
    <definedName name="_xlnm.Print_Area" localSheetId="4">'CreditCalculations1'!$A$1:$G$32</definedName>
    <definedName name="_xlnm.Print_Area" localSheetId="1">'Hilton Head-Daufuskie'!$A$1:$S$46</definedName>
    <definedName name="_xlnm.Print_Area" localSheetId="2">'Northern Beaufort County'!$A$1:$G$65</definedName>
  </definedNames>
  <calcPr fullCalcOnLoad="1"/>
</workbook>
</file>

<file path=xl/sharedStrings.xml><?xml version="1.0" encoding="utf-8"?>
<sst xmlns="http://schemas.openxmlformats.org/spreadsheetml/2006/main" count="363" uniqueCount="144">
  <si>
    <t>Land Use Type</t>
  </si>
  <si>
    <t>Unit</t>
  </si>
  <si>
    <t>Dwelling</t>
  </si>
  <si>
    <t>1000 sq. ft.</t>
  </si>
  <si>
    <t>Furniture Store</t>
  </si>
  <si>
    <t>Nursing Home</t>
  </si>
  <si>
    <t>Industrial</t>
  </si>
  <si>
    <t>Mini-Warehouse</t>
  </si>
  <si>
    <t>Percent Primary</t>
  </si>
  <si>
    <t>Residential</t>
  </si>
  <si>
    <t>Cost per VMT</t>
  </si>
  <si>
    <t>Net cost per VMT</t>
  </si>
  <si>
    <t>Daily VMT</t>
  </si>
  <si>
    <t>Primary trips</t>
  </si>
  <si>
    <t>Avg. Trip Length</t>
  </si>
  <si>
    <t>Single-Family</t>
  </si>
  <si>
    <t>VFP</t>
  </si>
  <si>
    <t>Screens</t>
  </si>
  <si>
    <t>Quality Restaurant</t>
  </si>
  <si>
    <t>High-Turnover Restaurant</t>
  </si>
  <si>
    <t>New Car Sales</t>
  </si>
  <si>
    <t>Quick Lubrication Vehicle Shop</t>
  </si>
  <si>
    <t>Service Bays</t>
  </si>
  <si>
    <t>Automobile Care Center</t>
  </si>
  <si>
    <t>Self-Service Car Wash</t>
  </si>
  <si>
    <t>Golf Course</t>
  </si>
  <si>
    <t>Holes</t>
  </si>
  <si>
    <t>General Office Building</t>
  </si>
  <si>
    <t>Government Office Complex</t>
  </si>
  <si>
    <t>Medical-Dentist Office Building</t>
  </si>
  <si>
    <t>Clinic</t>
  </si>
  <si>
    <t>Beds</t>
  </si>
  <si>
    <t>Day Care</t>
  </si>
  <si>
    <t>Elementary School</t>
  </si>
  <si>
    <t>Students</t>
  </si>
  <si>
    <t>General Light Industrial</t>
  </si>
  <si>
    <t>Warehousing</t>
  </si>
  <si>
    <t>Daily trips / 2</t>
  </si>
  <si>
    <t>Daily Trips</t>
  </si>
  <si>
    <t>Apartment (Multi-Family)</t>
  </si>
  <si>
    <t>Lodging</t>
  </si>
  <si>
    <t>Hotel/Motel</t>
  </si>
  <si>
    <t>Rooms</t>
  </si>
  <si>
    <t>Retail/Commercial/Services</t>
  </si>
  <si>
    <t>Office</t>
  </si>
  <si>
    <t>Institutional/Medical</t>
  </si>
  <si>
    <t>Senior Adult Housing</t>
  </si>
  <si>
    <t>Assisted Living/Continuing Care Retirement Community</t>
  </si>
  <si>
    <t xml:space="preserve">Multiplex Movie Theater </t>
  </si>
  <si>
    <t>Shopping Center/General Retail</t>
  </si>
  <si>
    <t>Home Improvement/Paint/Garden Store</t>
  </si>
  <si>
    <t>Middle/High School</t>
  </si>
  <si>
    <t>College</t>
  </si>
  <si>
    <t>Church/Synagogue</t>
  </si>
  <si>
    <t>Hospital</t>
  </si>
  <si>
    <t>General Heavy Industrial/Manufacturing</t>
  </si>
  <si>
    <t>Admissions Fee</t>
  </si>
  <si>
    <t xml:space="preserve">Capital Project Sales Tax </t>
  </si>
  <si>
    <t>Period</t>
  </si>
  <si>
    <t>2007-2013</t>
  </si>
  <si>
    <t># of years in period</t>
  </si>
  <si>
    <t>Total Sales Tax Revenues for period</t>
  </si>
  <si>
    <t>Average Annual Sales Tax Revenue</t>
  </si>
  <si>
    <t>Existing Daily VMT (2005)</t>
  </si>
  <si>
    <t>Annual Capital Funding per VMT</t>
  </si>
  <si>
    <t>Net Present Value Discount Factor</t>
  </si>
  <si>
    <t>Source: http://www.federalreserve.gov/releases/h15/data/Monthly/H15_SL_Y20.txt</t>
  </si>
  <si>
    <t>Average for 3 month Period</t>
  </si>
  <si>
    <t>Sales Tax Revenue Credit/VMT (PV)</t>
  </si>
  <si>
    <t>2007-2027</t>
  </si>
  <si>
    <t>Annual STIP Revenues</t>
  </si>
  <si>
    <t>ASSUMPTIONS</t>
  </si>
  <si>
    <t>Total Admissions Fee Revenues for Beaufort over period</t>
  </si>
  <si>
    <t>Annual Admissions Fee Revenues</t>
  </si>
  <si>
    <t>Annual STIP Funding per VMT</t>
  </si>
  <si>
    <t>Annual Admissions Fee Funding per VMT</t>
  </si>
  <si>
    <t>State/Federal Guideshare - Gas Tax</t>
  </si>
  <si>
    <t>Total Guideshare for LowCOG over period</t>
  </si>
  <si>
    <t>Total Guideshare for South Beaufort over period</t>
  </si>
  <si>
    <t>% of Guideshare Assumption for South Beaufort County</t>
  </si>
  <si>
    <t>STIP / Guideshare Program</t>
  </si>
  <si>
    <t>Bank</t>
  </si>
  <si>
    <t>Condominiums/Townhouse</t>
  </si>
  <si>
    <t>Convenience Market (no gas pumps)</t>
  </si>
  <si>
    <t>Convenience Market w/ Gasoline Pumps</t>
  </si>
  <si>
    <t>Pharmacy/Drugstore</t>
  </si>
  <si>
    <t>Fast Food Restaurant</t>
  </si>
  <si>
    <t>Gas Tax Committed to Deficiency Improvement</t>
  </si>
  <si>
    <t>Cost per VMT for Non-bridge alternative</t>
  </si>
  <si>
    <t>Bridge</t>
  </si>
  <si>
    <t>Cost per VMT for Bridge Alternative</t>
  </si>
  <si>
    <t>Fee</t>
  </si>
  <si>
    <r>
      <t xml:space="preserve">Source:  ITE, </t>
    </r>
    <r>
      <rPr>
        <b/>
        <i/>
        <sz val="8"/>
        <rFont val="Arial"/>
        <family val="2"/>
      </rPr>
      <t>Trip Generation</t>
    </r>
    <r>
      <rPr>
        <b/>
        <sz val="8"/>
        <rFont val="Arial"/>
        <family val="2"/>
      </rPr>
      <t>, 7</t>
    </r>
    <r>
      <rPr>
        <b/>
        <vertAlign val="superscript"/>
        <sz val="8"/>
        <rFont val="Arial"/>
        <family val="2"/>
      </rPr>
      <t>th</t>
    </r>
    <r>
      <rPr>
        <b/>
        <sz val="8"/>
        <rFont val="Arial"/>
        <family val="2"/>
      </rPr>
      <t xml:space="preserve"> ed., 2003; percent primary trips from ITE, </t>
    </r>
    <r>
      <rPr>
        <b/>
        <i/>
        <sz val="8"/>
        <rFont val="Arial"/>
        <family val="2"/>
      </rPr>
      <t>Trip Generation Handbook,</t>
    </r>
    <r>
      <rPr>
        <b/>
        <sz val="8"/>
        <rFont val="Arial"/>
        <family val="2"/>
      </rPr>
      <t xml:space="preserve"> 2004; VFP=Vehicle Fueling Positions.</t>
    </r>
  </si>
  <si>
    <t>Percent Mainland Trips</t>
  </si>
  <si>
    <t>Net Primary Trips</t>
  </si>
  <si>
    <t>Enter Number of Dwellings, 1,000 sf, etc.</t>
  </si>
  <si>
    <t>FEE</t>
  </si>
  <si>
    <t>ROAD IMPACT FEE SCHEDULE - BLUFFTON/OKATIE ASSESSMENT DISTRICT</t>
  </si>
  <si>
    <t>Gas Tax Credit</t>
  </si>
  <si>
    <t>Admissions Fee Credit</t>
  </si>
  <si>
    <t>Sales Tax Credit</t>
  </si>
  <si>
    <t>Total Road Impact Fee</t>
  </si>
  <si>
    <t>Development Name</t>
  </si>
  <si>
    <t>Location</t>
  </si>
  <si>
    <t>Enter No.</t>
  </si>
  <si>
    <t>Primary</t>
  </si>
  <si>
    <t>ITE</t>
  </si>
  <si>
    <t>Land-Use</t>
  </si>
  <si>
    <t>Daily</t>
  </si>
  <si>
    <t>Trips</t>
  </si>
  <si>
    <t>Code</t>
  </si>
  <si>
    <t>Trip</t>
  </si>
  <si>
    <t>Factor</t>
  </si>
  <si>
    <t>Generation</t>
  </si>
  <si>
    <t>Cost per VT/D:</t>
  </si>
  <si>
    <t>=</t>
  </si>
  <si>
    <t>Total Road Impact Fee:</t>
  </si>
  <si>
    <t>Sq.Ft. = Gross Square Footage</t>
  </si>
  <si>
    <t>D.U. = Dwelling Units</t>
  </si>
  <si>
    <t>Bays = Service Bays</t>
  </si>
  <si>
    <t>V.F.P. = Vehicle Fueling Positions</t>
  </si>
  <si>
    <t>of Dwellings</t>
  </si>
  <si>
    <t>1,000 sf,</t>
  </si>
  <si>
    <t>per Unit</t>
  </si>
  <si>
    <t>310-320</t>
  </si>
  <si>
    <t>254-255</t>
  </si>
  <si>
    <t>251-252</t>
  </si>
  <si>
    <t>540-550</t>
  </si>
  <si>
    <t>560-561</t>
  </si>
  <si>
    <t>120-140</t>
  </si>
  <si>
    <t>Average trip rate used for daily trip generation</t>
  </si>
  <si>
    <t>ROAD IMPACT FEE SCHEDULE - HILTON HEAD ISLAND/DAUFUSKIE ISLAND ASSESSMENT DISTRICT</t>
  </si>
  <si>
    <t>Hospitality Tax Credit</t>
  </si>
  <si>
    <t>Fee Per Unit</t>
  </si>
  <si>
    <t>Total Vehicle Trips per Day</t>
  </si>
  <si>
    <t>Road Impact Fee Schedule - Northern Beaufort County Service Area</t>
  </si>
  <si>
    <t>Source:  ITE, Trip Generation, 7th ed., 2003; percent primary trips from ITE, Trip Generation Handbook, 2004.</t>
  </si>
  <si>
    <t>VFP, etc.</t>
  </si>
  <si>
    <r>
      <t xml:space="preserve">Cost per VMT for Non-bridge alternative </t>
    </r>
    <r>
      <rPr>
        <b/>
        <sz val="10"/>
        <rFont val="Arial"/>
        <family val="2"/>
      </rPr>
      <t>HHI Only</t>
    </r>
  </si>
  <si>
    <r>
      <t xml:space="preserve">Source:  ITE, </t>
    </r>
    <r>
      <rPr>
        <b/>
        <i/>
        <sz val="8"/>
        <rFont val="Arial"/>
        <family val="2"/>
      </rPr>
      <t>Trip Generation</t>
    </r>
    <r>
      <rPr>
        <b/>
        <sz val="8"/>
        <rFont val="Arial"/>
        <family val="2"/>
      </rPr>
      <t>, 8</t>
    </r>
    <r>
      <rPr>
        <b/>
        <vertAlign val="superscript"/>
        <sz val="8"/>
        <rFont val="Arial"/>
        <family val="2"/>
      </rPr>
      <t>th</t>
    </r>
    <r>
      <rPr>
        <b/>
        <sz val="8"/>
        <rFont val="Arial"/>
        <family val="2"/>
      </rPr>
      <t xml:space="preserve"> ed., 2008; percent primary trips from ITE, </t>
    </r>
    <r>
      <rPr>
        <b/>
        <i/>
        <sz val="8"/>
        <rFont val="Arial"/>
        <family val="2"/>
      </rPr>
      <t>Trip Generation Handbook,</t>
    </r>
    <r>
      <rPr>
        <b/>
        <sz val="8"/>
        <rFont val="Arial"/>
        <family val="2"/>
      </rPr>
      <t xml:space="preserve"> 2004; VFP=Vehicle Fueling Positions.</t>
    </r>
  </si>
  <si>
    <t>Health/Fitness Club, Bowling Alley</t>
  </si>
  <si>
    <t>1000 sq. ft. or lanes</t>
  </si>
  <si>
    <t>Health/Fitness Club and/or Bowling Alley</t>
  </si>
  <si>
    <t>1000 sq. ft. or Lanes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</si>
</sst>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[$€-2]\ #,##0.00_);[Red]\([$€-2]\ #,##0.00\)"/>
    <numFmt numFmtId="170" formatCode="#,##0.000"/>
    <numFmt numFmtId="171" formatCode="&quot;$&quot;#,##0"/>
    <numFmt numFmtId="172" formatCode="0.0%"/>
    <numFmt numFmtId="173" formatCode="&quot;$&quot;#,##0.00"/>
  </numFmts>
  <fonts count="7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Rounded MT Bold"/>
      <family val="2"/>
    </font>
    <font>
      <sz val="10"/>
      <name val="Arial Unicode MS"/>
      <family val="2"/>
    </font>
    <font>
      <sz val="7"/>
      <name val="Arial"/>
      <family val="0"/>
    </font>
    <font>
      <b/>
      <sz val="10"/>
      <name val="Arial Unicode MS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4"/>
      <color indexed="48"/>
      <name val="Arial"/>
      <family val="2"/>
    </font>
    <font>
      <sz val="14"/>
      <color indexed="48"/>
      <name val="Arial"/>
      <family val="2"/>
    </font>
    <font>
      <b/>
      <sz val="12"/>
      <color indexed="48"/>
      <name val="Arial"/>
      <family val="2"/>
    </font>
    <font>
      <b/>
      <sz val="12"/>
      <name val="Arial"/>
      <family val="2"/>
    </font>
    <font>
      <b/>
      <i/>
      <sz val="28"/>
      <color indexed="12"/>
      <name val="CG Omega"/>
      <family val="2"/>
    </font>
    <font>
      <b/>
      <i/>
      <sz val="24"/>
      <color indexed="12"/>
      <name val="CG Omega"/>
      <family val="2"/>
    </font>
    <font>
      <b/>
      <i/>
      <sz val="24"/>
      <name val="CG Omega"/>
      <family val="2"/>
    </font>
    <font>
      <sz val="12"/>
      <name val="CG Omega"/>
      <family val="2"/>
    </font>
    <font>
      <b/>
      <sz val="12"/>
      <name val="CG Omega"/>
      <family val="2"/>
    </font>
    <font>
      <b/>
      <sz val="14"/>
      <name val="CG Omega"/>
      <family val="2"/>
    </font>
    <font>
      <b/>
      <sz val="12"/>
      <color indexed="12"/>
      <name val="CG Omega"/>
      <family val="2"/>
    </font>
    <font>
      <sz val="13"/>
      <name val="CG Omega"/>
      <family val="2"/>
    </font>
    <font>
      <sz val="14"/>
      <name val="CG Omega"/>
      <family val="2"/>
    </font>
    <font>
      <sz val="12"/>
      <color indexed="8"/>
      <name val="CG Omega"/>
      <family val="2"/>
    </font>
    <font>
      <sz val="18"/>
      <name val="CG Omega"/>
      <family val="2"/>
    </font>
    <font>
      <b/>
      <i/>
      <sz val="18"/>
      <name val="CG Omega"/>
      <family val="2"/>
    </font>
    <font>
      <b/>
      <sz val="18"/>
      <color indexed="12"/>
      <name val="CG Omega"/>
      <family val="2"/>
    </font>
    <font>
      <b/>
      <sz val="12"/>
      <name val="Arial MT"/>
      <family val="2"/>
    </font>
    <font>
      <b/>
      <i/>
      <sz val="16"/>
      <name val="CG Omega"/>
      <family val="2"/>
    </font>
    <font>
      <sz val="16"/>
      <name val="Arial"/>
      <family val="2"/>
    </font>
    <font>
      <b/>
      <sz val="16"/>
      <color indexed="8"/>
      <name val="CG Omega"/>
      <family val="2"/>
    </font>
    <font>
      <b/>
      <sz val="16"/>
      <name val="CG Omega"/>
      <family val="2"/>
    </font>
    <font>
      <sz val="16"/>
      <color indexed="10"/>
      <name val="CG Omeg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/>
      <top style="double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9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 quotePrefix="1">
      <alignment horizontal="center" vertical="top" wrapText="1"/>
    </xf>
    <xf numFmtId="8" fontId="2" fillId="0" borderId="10" xfId="0" applyNumberFormat="1" applyFont="1" applyFill="1" applyBorder="1" applyAlignment="1">
      <alignment horizontal="center" vertical="top" wrapText="1"/>
    </xf>
    <xf numFmtId="8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42" fontId="0" fillId="0" borderId="0" xfId="44" applyNumberFormat="1" applyFont="1" applyAlignment="1">
      <alignment horizontal="right"/>
    </xf>
    <xf numFmtId="0" fontId="1" fillId="0" borderId="0" xfId="0" applyFont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42" fontId="0" fillId="0" borderId="0" xfId="0" applyNumberFormat="1" applyAlignment="1">
      <alignment horizontal="right"/>
    </xf>
    <xf numFmtId="4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7" fontId="10" fillId="0" borderId="13" xfId="0" applyNumberFormat="1" applyFont="1" applyBorder="1" applyAlignment="1">
      <alignment horizontal="left"/>
    </xf>
    <xf numFmtId="10" fontId="0" fillId="0" borderId="14" xfId="59" applyNumberFormat="1" applyFont="1" applyBorder="1" applyAlignment="1">
      <alignment/>
    </xf>
    <xf numFmtId="17" fontId="10" fillId="0" borderId="15" xfId="0" applyNumberFormat="1" applyFont="1" applyBorder="1" applyAlignment="1">
      <alignment horizontal="left"/>
    </xf>
    <xf numFmtId="10" fontId="0" fillId="0" borderId="16" xfId="0" applyNumberFormat="1" applyBorder="1" applyAlignment="1">
      <alignment/>
    </xf>
    <xf numFmtId="17" fontId="12" fillId="0" borderId="15" xfId="0" applyNumberFormat="1" applyFont="1" applyBorder="1" applyAlignment="1">
      <alignment/>
    </xf>
    <xf numFmtId="10" fontId="1" fillId="0" borderId="16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8" fontId="13" fillId="0" borderId="0" xfId="0" applyNumberFormat="1" applyFont="1" applyAlignment="1">
      <alignment horizontal="right"/>
    </xf>
    <xf numFmtId="8" fontId="1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42" fontId="0" fillId="0" borderId="16" xfId="44" applyNumberFormat="1" applyFont="1" applyBorder="1" applyAlignment="1">
      <alignment horizontal="right"/>
    </xf>
    <xf numFmtId="42" fontId="1" fillId="0" borderId="16" xfId="0" applyNumberFormat="1" applyFont="1" applyBorder="1" applyAlignment="1">
      <alignment/>
    </xf>
    <xf numFmtId="42" fontId="0" fillId="0" borderId="18" xfId="0" applyNumberFormat="1" applyBorder="1" applyAlignment="1">
      <alignment/>
    </xf>
    <xf numFmtId="5" fontId="0" fillId="0" borderId="16" xfId="44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3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3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left"/>
    </xf>
    <xf numFmtId="171" fontId="2" fillId="0" borderId="10" xfId="0" applyNumberFormat="1" applyFont="1" applyFill="1" applyBorder="1" applyAlignment="1">
      <alignment horizontal="center" vertical="top" wrapText="1"/>
    </xf>
    <xf numFmtId="171" fontId="0" fillId="0" borderId="23" xfId="0" applyNumberFormat="1" applyBorder="1" applyAlignment="1">
      <alignment horizontal="left"/>
    </xf>
    <xf numFmtId="171" fontId="2" fillId="0" borderId="11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172" fontId="0" fillId="0" borderId="23" xfId="0" applyNumberForma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17" fillId="0" borderId="10" xfId="0" applyFont="1" applyFill="1" applyBorder="1" applyAlignment="1">
      <alignment horizontal="center" vertical="top" wrapText="1"/>
    </xf>
    <xf numFmtId="171" fontId="0" fillId="0" borderId="0" xfId="0" applyNumberFormat="1" applyBorder="1" applyAlignment="1">
      <alignment horizontal="left"/>
    </xf>
    <xf numFmtId="0" fontId="17" fillId="0" borderId="25" xfId="0" applyFont="1" applyFill="1" applyBorder="1" applyAlignment="1">
      <alignment horizontal="center" vertical="top" wrapText="1"/>
    </xf>
    <xf numFmtId="0" fontId="17" fillId="0" borderId="26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2" fillId="0" borderId="25" xfId="0" applyFont="1" applyBorder="1" applyAlignment="1">
      <alignment vertical="top" wrapText="1"/>
    </xf>
    <xf numFmtId="171" fontId="17" fillId="0" borderId="26" xfId="0" applyNumberFormat="1" applyFont="1" applyBorder="1" applyAlignment="1">
      <alignment/>
    </xf>
    <xf numFmtId="0" fontId="3" fillId="0" borderId="27" xfId="0" applyFont="1" applyBorder="1" applyAlignment="1">
      <alignment horizontal="left" wrapText="1"/>
    </xf>
    <xf numFmtId="171" fontId="17" fillId="0" borderId="16" xfId="0" applyNumberFormat="1" applyFont="1" applyBorder="1" applyAlignment="1">
      <alignment/>
    </xf>
    <xf numFmtId="0" fontId="3" fillId="0" borderId="15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171" fontId="17" fillId="0" borderId="28" xfId="0" applyNumberFormat="1" applyFont="1" applyBorder="1" applyAlignment="1">
      <alignment/>
    </xf>
    <xf numFmtId="0" fontId="2" fillId="0" borderId="25" xfId="0" applyFont="1" applyBorder="1" applyAlignment="1">
      <alignment horizontal="left" vertical="top" wrapText="1"/>
    </xf>
    <xf numFmtId="0" fontId="2" fillId="0" borderId="29" xfId="0" applyFont="1" applyBorder="1" applyAlignment="1">
      <alignment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 quotePrefix="1">
      <alignment horizontal="center" vertical="top" wrapText="1"/>
    </xf>
    <xf numFmtId="2" fontId="2" fillId="0" borderId="30" xfId="0" applyNumberFormat="1" applyFont="1" applyFill="1" applyBorder="1" applyAlignment="1">
      <alignment horizontal="center" vertical="top" wrapText="1"/>
    </xf>
    <xf numFmtId="9" fontId="2" fillId="0" borderId="30" xfId="0" applyNumberFormat="1" applyFont="1" applyFill="1" applyBorder="1" applyAlignment="1">
      <alignment horizontal="center" vertical="top" wrapText="1"/>
    </xf>
    <xf numFmtId="4" fontId="2" fillId="0" borderId="30" xfId="0" applyNumberFormat="1" applyFont="1" applyFill="1" applyBorder="1" applyAlignment="1">
      <alignment horizontal="center" vertical="top" wrapText="1"/>
    </xf>
    <xf numFmtId="8" fontId="2" fillId="0" borderId="30" xfId="0" applyNumberFormat="1" applyFont="1" applyFill="1" applyBorder="1" applyAlignment="1">
      <alignment horizontal="center" vertical="top" wrapText="1"/>
    </xf>
    <xf numFmtId="8" fontId="2" fillId="0" borderId="31" xfId="0" applyNumberFormat="1" applyFont="1" applyFill="1" applyBorder="1" applyAlignment="1">
      <alignment horizontal="center" vertical="top" wrapText="1"/>
    </xf>
    <xf numFmtId="171" fontId="2" fillId="0" borderId="31" xfId="0" applyNumberFormat="1" applyFont="1" applyFill="1" applyBorder="1" applyAlignment="1">
      <alignment horizontal="center" vertical="top" wrapText="1"/>
    </xf>
    <xf numFmtId="171" fontId="17" fillId="0" borderId="32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0" fontId="0" fillId="0" borderId="33" xfId="0" applyBorder="1" applyAlignment="1">
      <alignment horizontal="left"/>
    </xf>
    <xf numFmtId="171" fontId="17" fillId="0" borderId="34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0" fontId="21" fillId="0" borderId="0" xfId="0" applyFont="1" applyAlignment="1" applyProtection="1">
      <alignment horizontal="centerContinuous"/>
      <protection/>
    </xf>
    <xf numFmtId="37" fontId="21" fillId="0" borderId="0" xfId="0" applyNumberFormat="1" applyFont="1" applyAlignment="1" applyProtection="1">
      <alignment horizontal="centerContinuous"/>
      <protection/>
    </xf>
    <xf numFmtId="0" fontId="22" fillId="0" borderId="0" xfId="0" applyFont="1" applyAlignment="1" applyProtection="1">
      <alignment horizontal="centerContinuous"/>
      <protection/>
    </xf>
    <xf numFmtId="37" fontId="23" fillId="0" borderId="0" xfId="0" applyNumberFormat="1" applyFont="1" applyAlignment="1" applyProtection="1">
      <alignment horizontal="centerContinuous"/>
      <protection/>
    </xf>
    <xf numFmtId="37" fontId="22" fillId="0" borderId="0" xfId="0" applyNumberFormat="1" applyFont="1" applyAlignment="1" applyProtection="1">
      <alignment horizontal="centerContinuous"/>
      <protection/>
    </xf>
    <xf numFmtId="0" fontId="24" fillId="0" borderId="0" xfId="0" applyFont="1" applyAlignment="1" applyProtection="1">
      <alignment horizontal="centerContinuous"/>
      <protection/>
    </xf>
    <xf numFmtId="0" fontId="23" fillId="0" borderId="35" xfId="0" applyFont="1" applyBorder="1" applyAlignment="1" applyProtection="1">
      <alignment/>
      <protection/>
    </xf>
    <xf numFmtId="37" fontId="25" fillId="0" borderId="35" xfId="0" applyNumberFormat="1" applyFont="1" applyBorder="1" applyAlignment="1" applyProtection="1">
      <alignment horizontal="center"/>
      <protection/>
    </xf>
    <xf numFmtId="37" fontId="25" fillId="0" borderId="36" xfId="0" applyNumberFormat="1" applyFont="1" applyBorder="1" applyAlignment="1" applyProtection="1">
      <alignment horizontal="center"/>
      <protection/>
    </xf>
    <xf numFmtId="37" fontId="23" fillId="0" borderId="36" xfId="0" applyNumberFormat="1" applyFont="1" applyBorder="1" applyAlignment="1" applyProtection="1">
      <alignment horizontal="center"/>
      <protection/>
    </xf>
    <xf numFmtId="37" fontId="23" fillId="0" borderId="35" xfId="0" applyNumberFormat="1" applyFont="1" applyBorder="1" applyAlignment="1" applyProtection="1">
      <alignment horizontal="center"/>
      <protection/>
    </xf>
    <xf numFmtId="0" fontId="23" fillId="0" borderId="37" xfId="0" applyFont="1" applyBorder="1" applyAlignment="1" applyProtection="1">
      <alignment horizontal="center"/>
      <protection/>
    </xf>
    <xf numFmtId="37" fontId="25" fillId="0" borderId="37" xfId="0" applyNumberFormat="1" applyFont="1" applyBorder="1" applyAlignment="1" applyProtection="1">
      <alignment horizontal="center"/>
      <protection/>
    </xf>
    <xf numFmtId="37" fontId="25" fillId="0" borderId="38" xfId="0" applyNumberFormat="1" applyFont="1" applyBorder="1" applyAlignment="1" applyProtection="1">
      <alignment horizontal="center"/>
      <protection/>
    </xf>
    <xf numFmtId="37" fontId="23" fillId="0" borderId="38" xfId="0" applyNumberFormat="1" applyFont="1" applyBorder="1" applyAlignment="1" applyProtection="1">
      <alignment horizontal="center"/>
      <protection/>
    </xf>
    <xf numFmtId="37" fontId="23" fillId="0" borderId="37" xfId="0" applyNumberFormat="1" applyFont="1" applyBorder="1" applyAlignment="1" applyProtection="1">
      <alignment horizontal="center"/>
      <protection/>
    </xf>
    <xf numFmtId="0" fontId="23" fillId="0" borderId="37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/>
      <protection/>
    </xf>
    <xf numFmtId="37" fontId="25" fillId="0" borderId="39" xfId="0" applyNumberFormat="1" applyFont="1" applyBorder="1" applyAlignment="1" applyProtection="1">
      <alignment horizontal="center"/>
      <protection/>
    </xf>
    <xf numFmtId="37" fontId="25" fillId="0" borderId="40" xfId="0" applyNumberFormat="1" applyFont="1" applyBorder="1" applyAlignment="1" applyProtection="1">
      <alignment horizontal="center"/>
      <protection/>
    </xf>
    <xf numFmtId="37" fontId="23" fillId="0" borderId="40" xfId="0" applyNumberFormat="1" applyFont="1" applyBorder="1" applyAlignment="1" applyProtection="1">
      <alignment horizontal="center"/>
      <protection/>
    </xf>
    <xf numFmtId="37" fontId="23" fillId="0" borderId="39" xfId="0" applyNumberFormat="1" applyFont="1" applyBorder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37" fontId="31" fillId="0" borderId="0" xfId="0" applyNumberFormat="1" applyFont="1" applyAlignment="1" applyProtection="1">
      <alignment horizontal="center"/>
      <protection locked="0"/>
    </xf>
    <xf numFmtId="37" fontId="23" fillId="0" borderId="0" xfId="0" applyNumberFormat="1" applyFont="1" applyAlignment="1" applyProtection="1">
      <alignment horizontal="center"/>
      <protection/>
    </xf>
    <xf numFmtId="37" fontId="22" fillId="0" borderId="0" xfId="0" applyNumberFormat="1" applyFont="1" applyAlignment="1" applyProtection="1">
      <alignment horizontal="center"/>
      <protection/>
    </xf>
    <xf numFmtId="0" fontId="18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0" fillId="0" borderId="0" xfId="0" applyAlignment="1" applyProtection="1">
      <alignment/>
      <protection/>
    </xf>
    <xf numFmtId="37" fontId="32" fillId="0" borderId="0" xfId="0" applyNumberFormat="1" applyFont="1" applyAlignment="1" applyProtection="1">
      <alignment horizontal="center"/>
      <protection/>
    </xf>
    <xf numFmtId="37" fontId="0" fillId="0" borderId="0" xfId="0" applyNumberFormat="1" applyAlignment="1" applyProtection="1">
      <alignment horizontal="center"/>
      <protection/>
    </xf>
    <xf numFmtId="37" fontId="33" fillId="0" borderId="0" xfId="0" applyNumberFormat="1" applyFont="1" applyAlignment="1" applyProtection="1">
      <alignment horizontal="center"/>
      <protection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173" fontId="35" fillId="0" borderId="41" xfId="0" applyNumberFormat="1" applyFont="1" applyBorder="1" applyAlignment="1" applyProtection="1">
      <alignment horizontal="center"/>
      <protection/>
    </xf>
    <xf numFmtId="4" fontId="36" fillId="0" borderId="0" xfId="0" applyNumberFormat="1" applyFont="1" applyAlignment="1">
      <alignment horizontal="center"/>
    </xf>
    <xf numFmtId="173" fontId="36" fillId="0" borderId="42" xfId="0" applyNumberFormat="1" applyFont="1" applyBorder="1" applyAlignment="1" applyProtection="1">
      <alignment horizontal="left"/>
      <protection/>
    </xf>
    <xf numFmtId="0" fontId="37" fillId="0" borderId="0" xfId="0" applyFont="1" applyBorder="1" applyAlignment="1" applyProtection="1">
      <alignment horizontal="center"/>
      <protection/>
    </xf>
    <xf numFmtId="0" fontId="3" fillId="0" borderId="43" xfId="0" applyFont="1" applyBorder="1" applyAlignment="1">
      <alignment horizontal="left" vertical="top" wrapText="1"/>
    </xf>
    <xf numFmtId="0" fontId="0" fillId="0" borderId="44" xfId="0" applyBorder="1" applyAlignment="1">
      <alignment/>
    </xf>
    <xf numFmtId="37" fontId="28" fillId="0" borderId="45" xfId="0" applyNumberFormat="1" applyFont="1" applyBorder="1" applyAlignment="1" applyProtection="1">
      <alignment horizontal="center"/>
      <protection/>
    </xf>
    <xf numFmtId="37" fontId="28" fillId="0" borderId="46" xfId="0" applyNumberFormat="1" applyFont="1" applyBorder="1" applyAlignment="1" applyProtection="1">
      <alignment horizontal="center"/>
      <protection/>
    </xf>
    <xf numFmtId="37" fontId="28" fillId="0" borderId="47" xfId="0" applyNumberFormat="1" applyFont="1" applyBorder="1" applyAlignment="1" applyProtection="1">
      <alignment horizontal="center"/>
      <protection/>
    </xf>
    <xf numFmtId="37" fontId="23" fillId="0" borderId="48" xfId="0" applyNumberFormat="1" applyFont="1" applyBorder="1" applyAlignment="1" applyProtection="1">
      <alignment horizontal="center"/>
      <protection/>
    </xf>
    <xf numFmtId="37" fontId="23" fillId="0" borderId="49" xfId="0" applyNumberFormat="1" applyFont="1" applyBorder="1" applyAlignment="1" applyProtection="1">
      <alignment horizontal="center"/>
      <protection/>
    </xf>
    <xf numFmtId="37" fontId="23" fillId="0" borderId="50" xfId="0" applyNumberFormat="1" applyFont="1" applyBorder="1" applyAlignment="1" applyProtection="1">
      <alignment horizontal="center"/>
      <protection/>
    </xf>
    <xf numFmtId="0" fontId="22" fillId="0" borderId="51" xfId="0" applyFont="1" applyBorder="1" applyAlignment="1" applyProtection="1">
      <alignment horizontal="center"/>
      <protection/>
    </xf>
    <xf numFmtId="0" fontId="23" fillId="0" borderId="52" xfId="0" applyFont="1" applyBorder="1" applyAlignment="1" applyProtection="1">
      <alignment horizontal="center"/>
      <protection/>
    </xf>
    <xf numFmtId="0" fontId="22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26" fillId="0" borderId="56" xfId="0" applyFont="1" applyBorder="1" applyAlignment="1" applyProtection="1">
      <alignment horizontal="center"/>
      <protection/>
    </xf>
    <xf numFmtId="0" fontId="26" fillId="0" borderId="57" xfId="0" applyFont="1" applyBorder="1" applyAlignment="1" applyProtection="1">
      <alignment horizontal="center"/>
      <protection/>
    </xf>
    <xf numFmtId="0" fontId="27" fillId="0" borderId="42" xfId="0" applyFont="1" applyBorder="1" applyAlignment="1" applyProtection="1">
      <alignment/>
      <protection/>
    </xf>
    <xf numFmtId="37" fontId="25" fillId="0" borderId="42" xfId="0" applyNumberFormat="1" applyFont="1" applyBorder="1" applyAlignment="1" applyProtection="1">
      <alignment horizontal="center"/>
      <protection locked="0"/>
    </xf>
    <xf numFmtId="37" fontId="28" fillId="0" borderId="42" xfId="0" applyNumberFormat="1" applyFont="1" applyBorder="1" applyAlignment="1" applyProtection="1">
      <alignment horizontal="center"/>
      <protection/>
    </xf>
    <xf numFmtId="9" fontId="28" fillId="0" borderId="42" xfId="0" applyNumberFormat="1" applyFont="1" applyBorder="1" applyAlignment="1" applyProtection="1">
      <alignment horizontal="center"/>
      <protection/>
    </xf>
    <xf numFmtId="37" fontId="28" fillId="0" borderId="58" xfId="0" applyNumberFormat="1" applyFont="1" applyBorder="1" applyAlignment="1" applyProtection="1">
      <alignment horizontal="center"/>
      <protection/>
    </xf>
    <xf numFmtId="0" fontId="3" fillId="0" borderId="44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172" fontId="0" fillId="0" borderId="24" xfId="0" applyNumberFormat="1" applyBorder="1" applyAlignment="1">
      <alignment horizontal="left"/>
    </xf>
    <xf numFmtId="2" fontId="2" fillId="0" borderId="24" xfId="0" applyNumberFormat="1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left"/>
    </xf>
    <xf numFmtId="4" fontId="2" fillId="0" borderId="24" xfId="0" applyNumberFormat="1" applyFont="1" applyFill="1" applyBorder="1" applyAlignment="1">
      <alignment horizontal="center" vertical="top" wrapText="1"/>
    </xf>
    <xf numFmtId="8" fontId="2" fillId="0" borderId="24" xfId="0" applyNumberFormat="1" applyFont="1" applyFill="1" applyBorder="1" applyAlignment="1">
      <alignment horizontal="center" vertical="top" wrapText="1"/>
    </xf>
    <xf numFmtId="171" fontId="0" fillId="0" borderId="24" xfId="0" applyNumberFormat="1" applyBorder="1" applyAlignment="1">
      <alignment horizontal="left"/>
    </xf>
    <xf numFmtId="0" fontId="2" fillId="0" borderId="59" xfId="0" applyFont="1" applyBorder="1" applyAlignment="1">
      <alignment vertical="top" wrapText="1"/>
    </xf>
    <xf numFmtId="0" fontId="2" fillId="0" borderId="60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 quotePrefix="1">
      <alignment horizontal="center" vertical="top" wrapText="1"/>
    </xf>
    <xf numFmtId="2" fontId="2" fillId="0" borderId="60" xfId="0" applyNumberFormat="1" applyFont="1" applyFill="1" applyBorder="1" applyAlignment="1">
      <alignment horizontal="center" vertical="top" wrapText="1"/>
    </xf>
    <xf numFmtId="9" fontId="2" fillId="0" borderId="60" xfId="0" applyNumberFormat="1" applyFont="1" applyFill="1" applyBorder="1" applyAlignment="1">
      <alignment horizontal="center" vertical="top" wrapText="1"/>
    </xf>
    <xf numFmtId="172" fontId="2" fillId="0" borderId="60" xfId="0" applyNumberFormat="1" applyFont="1" applyFill="1" applyBorder="1" applyAlignment="1">
      <alignment horizontal="center" vertical="top" wrapText="1"/>
    </xf>
    <xf numFmtId="4" fontId="2" fillId="0" borderId="60" xfId="0" applyNumberFormat="1" applyFont="1" applyFill="1" applyBorder="1" applyAlignment="1">
      <alignment horizontal="center" vertical="top" wrapText="1"/>
    </xf>
    <xf numFmtId="8" fontId="2" fillId="0" borderId="60" xfId="0" applyNumberFormat="1" applyFont="1" applyFill="1" applyBorder="1" applyAlignment="1">
      <alignment horizontal="center" vertical="top" wrapText="1"/>
    </xf>
    <xf numFmtId="8" fontId="2" fillId="0" borderId="61" xfId="0" applyNumberFormat="1" applyFont="1" applyFill="1" applyBorder="1" applyAlignment="1">
      <alignment horizontal="center" vertical="top" wrapText="1"/>
    </xf>
    <xf numFmtId="171" fontId="2" fillId="0" borderId="61" xfId="0" applyNumberFormat="1" applyFont="1" applyFill="1" applyBorder="1" applyAlignment="1">
      <alignment horizontal="center" vertical="top" wrapText="1"/>
    </xf>
    <xf numFmtId="171" fontId="17" fillId="0" borderId="62" xfId="0" applyNumberFormat="1" applyFont="1" applyBorder="1" applyAlignment="1">
      <alignment/>
    </xf>
    <xf numFmtId="0" fontId="17" fillId="0" borderId="33" xfId="0" applyFont="1" applyBorder="1" applyAlignment="1">
      <alignment horizontal="right"/>
    </xf>
    <xf numFmtId="0" fontId="2" fillId="0" borderId="60" xfId="0" applyFont="1" applyBorder="1" applyAlignment="1" applyProtection="1">
      <alignment vertical="top" wrapText="1"/>
      <protection locked="0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/>
    </xf>
    <xf numFmtId="0" fontId="0" fillId="0" borderId="14" xfId="0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1" fillId="0" borderId="33" xfId="0" applyFont="1" applyBorder="1" applyAlignment="1">
      <alignment horizontal="left" vertical="top" wrapText="1"/>
    </xf>
    <xf numFmtId="0" fontId="0" fillId="0" borderId="33" xfId="0" applyBorder="1" applyAlignment="1">
      <alignment horizontal="left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view="pageBreakPreview" zoomScale="75" zoomScaleNormal="75" zoomScaleSheetLayoutView="75" zoomScalePageLayoutView="0" workbookViewId="0" topLeftCell="A4">
      <selection activeCell="B15" sqref="B15"/>
    </sheetView>
  </sheetViews>
  <sheetFormatPr defaultColWidth="10.421875" defaultRowHeight="12.75"/>
  <cols>
    <col min="1" max="1" width="28.57421875" style="0" customWidth="1"/>
    <col min="2" max="2" width="17.28125" style="0" customWidth="1"/>
    <col min="3" max="7" width="10.421875" style="0" customWidth="1"/>
    <col min="8" max="8" width="10.421875" style="31" customWidth="1"/>
    <col min="9" max="11" width="10.421875" style="0" customWidth="1"/>
    <col min="12" max="12" width="14.00390625" style="0" customWidth="1"/>
    <col min="13" max="15" width="10.421875" style="0" customWidth="1"/>
    <col min="16" max="16" width="13.57421875" style="0" customWidth="1"/>
  </cols>
  <sheetData>
    <row r="1" spans="1:16" ht="12.75">
      <c r="A1" s="168" t="s">
        <v>97</v>
      </c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1"/>
    </row>
    <row r="2" spans="1:16" ht="12.75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4"/>
    </row>
    <row r="3" spans="1:16" ht="51.75" customHeight="1">
      <c r="A3" s="57" t="s">
        <v>0</v>
      </c>
      <c r="B3" s="55" t="s">
        <v>95</v>
      </c>
      <c r="C3" s="55" t="s">
        <v>1</v>
      </c>
      <c r="D3" s="55" t="s">
        <v>38</v>
      </c>
      <c r="E3" s="55" t="s">
        <v>37</v>
      </c>
      <c r="F3" s="55" t="s">
        <v>8</v>
      </c>
      <c r="G3" s="55" t="s">
        <v>13</v>
      </c>
      <c r="H3" s="55" t="s">
        <v>14</v>
      </c>
      <c r="I3" s="55" t="s">
        <v>12</v>
      </c>
      <c r="J3" s="55" t="s">
        <v>10</v>
      </c>
      <c r="K3" s="55" t="s">
        <v>98</v>
      </c>
      <c r="L3" s="55" t="s">
        <v>99</v>
      </c>
      <c r="M3" s="55" t="s">
        <v>100</v>
      </c>
      <c r="N3" s="55" t="s">
        <v>11</v>
      </c>
      <c r="O3" s="55" t="s">
        <v>133</v>
      </c>
      <c r="P3" s="58" t="s">
        <v>96</v>
      </c>
    </row>
    <row r="4" spans="1:16" ht="12.75">
      <c r="A4" s="59" t="s">
        <v>9</v>
      </c>
      <c r="B4" s="148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60"/>
    </row>
    <row r="5" spans="1:16" ht="15.75">
      <c r="A5" s="61" t="s">
        <v>15</v>
      </c>
      <c r="B5" s="143"/>
      <c r="C5" s="1" t="s">
        <v>2</v>
      </c>
      <c r="D5" s="1">
        <v>9.57</v>
      </c>
      <c r="E5" s="4">
        <f>D5/2</f>
        <v>4.785</v>
      </c>
      <c r="F5" s="2">
        <v>1</v>
      </c>
      <c r="G5" s="4">
        <f>F5*E5</f>
        <v>4.785</v>
      </c>
      <c r="H5" s="1">
        <v>3.66</v>
      </c>
      <c r="I5" s="3">
        <f>H5*G5</f>
        <v>17.5131</v>
      </c>
      <c r="J5" s="6">
        <f>CostperVMTCalcs!A3</f>
        <v>285.0750886545922</v>
      </c>
      <c r="K5" s="6">
        <f>CreditCalculations1!B20</f>
        <v>31.962886848318753</v>
      </c>
      <c r="L5" s="6">
        <f>CreditCalculations1!B31</f>
        <v>15.940232729901012</v>
      </c>
      <c r="M5" s="6">
        <f>CreditCalculations1!B9</f>
        <v>62.26563416600726</v>
      </c>
      <c r="N5" s="6">
        <f>J5-(SUM(K5:M5))</f>
        <v>174.9063349103652</v>
      </c>
      <c r="O5" s="48">
        <f>I5*N5</f>
        <v>3063.152133918717</v>
      </c>
      <c r="P5" s="62">
        <f>IF(B5="","",B5*O5)</f>
      </c>
    </row>
    <row r="6" spans="1:16" ht="15.75">
      <c r="A6" s="61" t="s">
        <v>39</v>
      </c>
      <c r="B6" s="143"/>
      <c r="C6" s="1" t="s">
        <v>2</v>
      </c>
      <c r="D6" s="1">
        <v>6.72</v>
      </c>
      <c r="E6" s="4">
        <f>D6/2</f>
        <v>3.36</v>
      </c>
      <c r="F6" s="2">
        <v>1</v>
      </c>
      <c r="G6" s="4">
        <f aca="true" t="shared" si="0" ref="G6:G29">F6*E6</f>
        <v>3.36</v>
      </c>
      <c r="H6" s="1">
        <v>3.66</v>
      </c>
      <c r="I6" s="3">
        <f>H6*G6</f>
        <v>12.2976</v>
      </c>
      <c r="J6" s="6">
        <f>$J$5</f>
        <v>285.0750886545922</v>
      </c>
      <c r="K6" s="6">
        <f>CreditCalculations1!B20</f>
        <v>31.962886848318753</v>
      </c>
      <c r="L6" s="6">
        <f>CreditCalculations1!B31</f>
        <v>15.940232729901012</v>
      </c>
      <c r="M6" s="6">
        <f>CreditCalculations1!B9</f>
        <v>62.26563416600726</v>
      </c>
      <c r="N6" s="6">
        <f>J6-(SUM(K6:M6))</f>
        <v>174.9063349103652</v>
      </c>
      <c r="O6" s="48">
        <f>I6*N6</f>
        <v>2150.928144193707</v>
      </c>
      <c r="P6" s="62">
        <f aca="true" t="shared" si="1" ref="P6:P47">IF(B6="","",B6*O6)</f>
      </c>
    </row>
    <row r="7" spans="1:16" ht="15.75">
      <c r="A7" s="61" t="s">
        <v>82</v>
      </c>
      <c r="B7" s="143"/>
      <c r="C7" s="1" t="s">
        <v>2</v>
      </c>
      <c r="D7" s="1">
        <v>5.86</v>
      </c>
      <c r="E7" s="4">
        <f>D7/2</f>
        <v>2.93</v>
      </c>
      <c r="F7" s="2">
        <v>1</v>
      </c>
      <c r="G7" s="4">
        <f t="shared" si="0"/>
        <v>2.93</v>
      </c>
      <c r="H7" s="1">
        <v>3.66</v>
      </c>
      <c r="I7" s="3">
        <f>H7*G7</f>
        <v>10.7238</v>
      </c>
      <c r="J7" s="6">
        <f aca="true" t="shared" si="2" ref="J7:J47">$J$5</f>
        <v>285.0750886545922</v>
      </c>
      <c r="K7" s="6">
        <f>CreditCalculations1!B20</f>
        <v>31.962886848318753</v>
      </c>
      <c r="L7" s="6">
        <f>CreditCalculations1!B31</f>
        <v>15.940232729901012</v>
      </c>
      <c r="M7" s="6">
        <f>CreditCalculations1!B9</f>
        <v>62.26563416600726</v>
      </c>
      <c r="N7" s="6">
        <f>J7-(SUM(K7:M7))</f>
        <v>174.9063349103652</v>
      </c>
      <c r="O7" s="48">
        <f>I7*N7</f>
        <v>1875.6605543117744</v>
      </c>
      <c r="P7" s="62">
        <f t="shared" si="1"/>
      </c>
    </row>
    <row r="8" spans="1:16" ht="15.75">
      <c r="A8" s="61" t="s">
        <v>46</v>
      </c>
      <c r="B8" s="143"/>
      <c r="C8" s="1" t="s">
        <v>2</v>
      </c>
      <c r="D8" s="1">
        <v>3.48</v>
      </c>
      <c r="E8" s="4">
        <f>D8/2</f>
        <v>1.74</v>
      </c>
      <c r="F8" s="2">
        <v>1</v>
      </c>
      <c r="G8" s="4">
        <f t="shared" si="0"/>
        <v>1.74</v>
      </c>
      <c r="H8" s="1">
        <v>3.66</v>
      </c>
      <c r="I8" s="3">
        <f>H8*G8</f>
        <v>6.3684</v>
      </c>
      <c r="J8" s="6">
        <f t="shared" si="2"/>
        <v>285.0750886545922</v>
      </c>
      <c r="K8" s="6">
        <f>CreditCalculations1!B20</f>
        <v>31.962886848318753</v>
      </c>
      <c r="L8" s="6">
        <f>CreditCalculations1!B31</f>
        <v>15.940232729901012</v>
      </c>
      <c r="M8" s="6">
        <f>CreditCalculations1!B9</f>
        <v>62.26563416600726</v>
      </c>
      <c r="N8" s="6">
        <f>J8-(SUM(K8:M8))</f>
        <v>174.9063349103652</v>
      </c>
      <c r="O8" s="48">
        <f>I8*N8</f>
        <v>1113.8735032431698</v>
      </c>
      <c r="P8" s="62">
        <f t="shared" si="1"/>
      </c>
    </row>
    <row r="9" spans="1:16" ht="24">
      <c r="A9" s="61" t="s">
        <v>47</v>
      </c>
      <c r="B9" s="143"/>
      <c r="C9" s="1" t="s">
        <v>31</v>
      </c>
      <c r="D9" s="1">
        <v>2.81</v>
      </c>
      <c r="E9" s="4">
        <f>D9/2</f>
        <v>1.405</v>
      </c>
      <c r="F9" s="2">
        <v>1</v>
      </c>
      <c r="G9" s="4">
        <f t="shared" si="0"/>
        <v>1.405</v>
      </c>
      <c r="H9" s="1">
        <v>3.66</v>
      </c>
      <c r="I9" s="3">
        <f>H9*G9</f>
        <v>5.1423000000000005</v>
      </c>
      <c r="J9" s="6">
        <f t="shared" si="2"/>
        <v>285.0750886545922</v>
      </c>
      <c r="K9" s="6">
        <f>CreditCalculations1!B20</f>
        <v>31.962886848318753</v>
      </c>
      <c r="L9" s="6">
        <f>CreditCalculations1!B31</f>
        <v>15.940232729901012</v>
      </c>
      <c r="M9" s="6">
        <f>CreditCalculations1!B9</f>
        <v>62.26563416600726</v>
      </c>
      <c r="N9" s="6">
        <f>J9-(SUM(K9:M9))</f>
        <v>174.9063349103652</v>
      </c>
      <c r="O9" s="48">
        <f>I9*N9</f>
        <v>899.420846009571</v>
      </c>
      <c r="P9" s="62">
        <f t="shared" si="1"/>
      </c>
    </row>
    <row r="10" spans="1:16" ht="15.75">
      <c r="A10" s="63" t="s">
        <v>40</v>
      </c>
      <c r="B10" s="144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9"/>
      <c r="P10" s="64"/>
    </row>
    <row r="11" spans="1:16" ht="15.75">
      <c r="A11" s="61" t="s">
        <v>41</v>
      </c>
      <c r="B11" s="143"/>
      <c r="C11" s="1" t="s">
        <v>42</v>
      </c>
      <c r="D11" s="1">
        <v>8.17</v>
      </c>
      <c r="E11" s="4">
        <f>D11/2</f>
        <v>4.085</v>
      </c>
      <c r="F11" s="2">
        <v>1</v>
      </c>
      <c r="G11" s="4">
        <f t="shared" si="0"/>
        <v>4.085</v>
      </c>
      <c r="H11" s="4">
        <v>3.21</v>
      </c>
      <c r="I11" s="4">
        <f>H11*G11</f>
        <v>13.11285</v>
      </c>
      <c r="J11" s="6">
        <f t="shared" si="2"/>
        <v>285.0750886545922</v>
      </c>
      <c r="K11" s="6">
        <f>CreditCalculations1!B20</f>
        <v>31.962886848318753</v>
      </c>
      <c r="L11" s="6">
        <f>CreditCalculations1!B31</f>
        <v>15.940232729901012</v>
      </c>
      <c r="M11" s="6">
        <f>CreditCalculations1!B9</f>
        <v>62.26563416600726</v>
      </c>
      <c r="N11" s="6">
        <f>J11-(SUM(K11:M11))</f>
        <v>174.9063349103652</v>
      </c>
      <c r="O11" s="48">
        <f>I11*N11</f>
        <v>2293.5205337293824</v>
      </c>
      <c r="P11" s="62">
        <f t="shared" si="1"/>
      </c>
    </row>
    <row r="12" spans="1:16" ht="15.75">
      <c r="A12" s="63" t="s">
        <v>43</v>
      </c>
      <c r="B12" s="144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9"/>
      <c r="P12" s="64"/>
    </row>
    <row r="13" spans="1:16" ht="15.75">
      <c r="A13" s="61" t="s">
        <v>25</v>
      </c>
      <c r="B13" s="143"/>
      <c r="C13" s="1" t="s">
        <v>26</v>
      </c>
      <c r="D13" s="1">
        <v>35.74</v>
      </c>
      <c r="E13" s="1">
        <f aca="true" t="shared" si="3" ref="E13:E29">D13/2</f>
        <v>17.87</v>
      </c>
      <c r="F13" s="2">
        <v>0.9</v>
      </c>
      <c r="G13" s="4">
        <f t="shared" si="0"/>
        <v>16.083000000000002</v>
      </c>
      <c r="H13" s="4">
        <v>3.21</v>
      </c>
      <c r="I13" s="4">
        <f aca="true" t="shared" si="4" ref="I13:I29">H13*G13</f>
        <v>51.626430000000006</v>
      </c>
      <c r="J13" s="6">
        <f t="shared" si="2"/>
        <v>285.0750886545922</v>
      </c>
      <c r="K13" s="6">
        <f>CreditCalculations1!B20</f>
        <v>31.962886848318753</v>
      </c>
      <c r="L13" s="6">
        <f>CreditCalculations1!B31</f>
        <v>15.940232729901012</v>
      </c>
      <c r="M13" s="6">
        <f>CreditCalculations1!B9</f>
        <v>62.26563416600726</v>
      </c>
      <c r="N13" s="6">
        <f aca="true" t="shared" si="5" ref="N13:N29">J13-(SUM(K13:M13))</f>
        <v>174.9063349103652</v>
      </c>
      <c r="O13" s="48">
        <f aca="true" t="shared" si="6" ref="O13:O29">I13*N13</f>
        <v>9029.789655806526</v>
      </c>
      <c r="P13" s="62">
        <f t="shared" si="1"/>
      </c>
    </row>
    <row r="14" spans="1:16" ht="15.75">
      <c r="A14" s="61" t="s">
        <v>48</v>
      </c>
      <c r="B14" s="143"/>
      <c r="C14" s="1" t="s">
        <v>17</v>
      </c>
      <c r="D14" s="1">
        <v>146.3</v>
      </c>
      <c r="E14" s="1">
        <f t="shared" si="3"/>
        <v>73.15</v>
      </c>
      <c r="F14" s="2">
        <v>0.9</v>
      </c>
      <c r="G14" s="4">
        <f t="shared" si="0"/>
        <v>65.83500000000001</v>
      </c>
      <c r="H14" s="4">
        <v>3.21</v>
      </c>
      <c r="I14" s="4">
        <f t="shared" si="4"/>
        <v>211.33035</v>
      </c>
      <c r="J14" s="6">
        <f t="shared" si="2"/>
        <v>285.0750886545922</v>
      </c>
      <c r="K14" s="7">
        <f>CreditCalculations1!B20</f>
        <v>31.962886848318753</v>
      </c>
      <c r="L14" s="7">
        <f>CreditCalculations1!B31</f>
        <v>15.940232729901012</v>
      </c>
      <c r="M14" s="7">
        <f>CreditCalculations1!B9</f>
        <v>62.26563416600726</v>
      </c>
      <c r="N14" s="6">
        <f t="shared" si="5"/>
        <v>174.9063349103652</v>
      </c>
      <c r="O14" s="50">
        <f t="shared" si="6"/>
        <v>36963.0169738247</v>
      </c>
      <c r="P14" s="62">
        <f t="shared" si="1"/>
      </c>
    </row>
    <row r="15" spans="1:16" ht="27" customHeight="1">
      <c r="A15" s="61" t="s">
        <v>140</v>
      </c>
      <c r="B15" s="143"/>
      <c r="C15" s="1" t="s">
        <v>141</v>
      </c>
      <c r="D15" s="5">
        <v>32.93</v>
      </c>
      <c r="E15" s="4">
        <f>D15/2</f>
        <v>16.465</v>
      </c>
      <c r="F15" s="2">
        <v>0.56</v>
      </c>
      <c r="G15" s="4">
        <f>F15*E15</f>
        <v>9.220400000000001</v>
      </c>
      <c r="H15" s="4">
        <v>3</v>
      </c>
      <c r="I15" s="4">
        <f>H15*G15</f>
        <v>27.661200000000004</v>
      </c>
      <c r="J15" s="6">
        <f t="shared" si="2"/>
        <v>285.0750886545922</v>
      </c>
      <c r="K15" s="7">
        <f>CreditCalculations1!B20</f>
        <v>31.962886848318753</v>
      </c>
      <c r="L15" s="7">
        <f>CreditCalculations1!B31</f>
        <v>15.940232729901012</v>
      </c>
      <c r="M15" s="7">
        <f>CreditCalculations1!B9</f>
        <v>62.26563416600726</v>
      </c>
      <c r="N15" s="6">
        <f>J15-(SUM(K15:M15))</f>
        <v>174.9063349103652</v>
      </c>
      <c r="O15" s="50">
        <f>I15*N15</f>
        <v>4838.119111222594</v>
      </c>
      <c r="P15" s="62">
        <f>IF(B15="","",B15*O15)</f>
      </c>
    </row>
    <row r="16" spans="1:16" ht="15.75">
      <c r="A16" s="61" t="s">
        <v>49</v>
      </c>
      <c r="B16" s="143"/>
      <c r="C16" s="1" t="s">
        <v>3</v>
      </c>
      <c r="D16" s="5">
        <v>42.94</v>
      </c>
      <c r="E16" s="4">
        <f t="shared" si="3"/>
        <v>21.47</v>
      </c>
      <c r="F16" s="2">
        <v>0.56</v>
      </c>
      <c r="G16" s="4">
        <f t="shared" si="0"/>
        <v>12.023200000000001</v>
      </c>
      <c r="H16" s="4">
        <v>3</v>
      </c>
      <c r="I16" s="4">
        <f t="shared" si="4"/>
        <v>36.0696</v>
      </c>
      <c r="J16" s="6">
        <f t="shared" si="2"/>
        <v>285.0750886545922</v>
      </c>
      <c r="K16" s="7">
        <f>CreditCalculations1!B20</f>
        <v>31.962886848318753</v>
      </c>
      <c r="L16" s="7">
        <f>CreditCalculations1!B31</f>
        <v>15.940232729901012</v>
      </c>
      <c r="M16" s="7">
        <f>CreditCalculations1!B9</f>
        <v>62.26563416600726</v>
      </c>
      <c r="N16" s="6">
        <f t="shared" si="5"/>
        <v>174.9063349103652</v>
      </c>
      <c r="O16" s="50">
        <f t="shared" si="6"/>
        <v>6308.801537682908</v>
      </c>
      <c r="P16" s="62">
        <f t="shared" si="1"/>
      </c>
    </row>
    <row r="17" spans="1:16" ht="15.75">
      <c r="A17" s="61" t="s">
        <v>20</v>
      </c>
      <c r="B17" s="143"/>
      <c r="C17" s="1" t="s">
        <v>3</v>
      </c>
      <c r="D17" s="1">
        <v>33.34</v>
      </c>
      <c r="E17" s="4">
        <f t="shared" si="3"/>
        <v>16.67</v>
      </c>
      <c r="F17" s="2">
        <v>0.9</v>
      </c>
      <c r="G17" s="4">
        <f t="shared" si="0"/>
        <v>15.003000000000002</v>
      </c>
      <c r="H17" s="4">
        <v>3.21</v>
      </c>
      <c r="I17" s="4">
        <f t="shared" si="4"/>
        <v>48.15963000000001</v>
      </c>
      <c r="J17" s="6">
        <f t="shared" si="2"/>
        <v>285.0750886545922</v>
      </c>
      <c r="K17" s="7">
        <f>CreditCalculations1!B20</f>
        <v>31.962886848318753</v>
      </c>
      <c r="L17" s="7">
        <f>CreditCalculations1!B31</f>
        <v>15.940232729901012</v>
      </c>
      <c r="M17" s="7">
        <f>CreditCalculations1!B9</f>
        <v>62.26563416600726</v>
      </c>
      <c r="N17" s="6">
        <f t="shared" si="5"/>
        <v>174.9063349103652</v>
      </c>
      <c r="O17" s="50">
        <f t="shared" si="6"/>
        <v>8423.424373939271</v>
      </c>
      <c r="P17" s="62">
        <f t="shared" si="1"/>
      </c>
    </row>
    <row r="18" spans="1:16" ht="24">
      <c r="A18" s="61" t="s">
        <v>83</v>
      </c>
      <c r="B18" s="143"/>
      <c r="C18" s="1" t="s">
        <v>3</v>
      </c>
      <c r="D18" s="1">
        <v>460.05</v>
      </c>
      <c r="E18" s="4">
        <f t="shared" si="3"/>
        <v>230.025</v>
      </c>
      <c r="F18" s="2">
        <v>0.26</v>
      </c>
      <c r="G18" s="4">
        <f t="shared" si="0"/>
        <v>59.80650000000001</v>
      </c>
      <c r="H18" s="4">
        <v>1.5</v>
      </c>
      <c r="I18" s="4">
        <f t="shared" si="4"/>
        <v>89.70975000000001</v>
      </c>
      <c r="J18" s="6">
        <f t="shared" si="2"/>
        <v>285.0750886545922</v>
      </c>
      <c r="K18" s="7">
        <f>CreditCalculations1!B20</f>
        <v>31.962886848318753</v>
      </c>
      <c r="L18" s="7">
        <f>CreditCalculations1!B31</f>
        <v>15.940232729901012</v>
      </c>
      <c r="M18" s="7">
        <f>CreditCalculations1!B9</f>
        <v>62.26563416600726</v>
      </c>
      <c r="N18" s="6">
        <f t="shared" si="5"/>
        <v>174.9063349103652</v>
      </c>
      <c r="O18" s="50">
        <f t="shared" si="6"/>
        <v>15690.803578225135</v>
      </c>
      <c r="P18" s="62">
        <f t="shared" si="1"/>
      </c>
    </row>
    <row r="19" spans="1:16" ht="24">
      <c r="A19" s="61" t="s">
        <v>84</v>
      </c>
      <c r="B19" s="143"/>
      <c r="C19" s="1" t="s">
        <v>16</v>
      </c>
      <c r="D19" s="1">
        <v>179.8</v>
      </c>
      <c r="E19" s="4">
        <f t="shared" si="3"/>
        <v>89.9</v>
      </c>
      <c r="F19" s="2">
        <v>0.26</v>
      </c>
      <c r="G19" s="4">
        <f t="shared" si="0"/>
        <v>23.374000000000002</v>
      </c>
      <c r="H19" s="4">
        <v>1.5</v>
      </c>
      <c r="I19" s="4">
        <f t="shared" si="4"/>
        <v>35.06100000000001</v>
      </c>
      <c r="J19" s="6">
        <f t="shared" si="2"/>
        <v>285.0750886545922</v>
      </c>
      <c r="K19" s="7">
        <f>CreditCalculations1!B20</f>
        <v>31.962886848318753</v>
      </c>
      <c r="L19" s="7">
        <f>CreditCalculations1!B31</f>
        <v>15.940232729901012</v>
      </c>
      <c r="M19" s="7">
        <f>CreditCalculations1!B9</f>
        <v>62.26563416600726</v>
      </c>
      <c r="N19" s="6">
        <f t="shared" si="5"/>
        <v>174.9063349103652</v>
      </c>
      <c r="O19" s="50">
        <f t="shared" si="6"/>
        <v>6132.391008292315</v>
      </c>
      <c r="P19" s="62">
        <f t="shared" si="1"/>
      </c>
    </row>
    <row r="20" spans="1:16" ht="24">
      <c r="A20" s="61" t="s">
        <v>50</v>
      </c>
      <c r="B20" s="143"/>
      <c r="C20" s="1" t="s">
        <v>3</v>
      </c>
      <c r="D20" s="5">
        <v>29.8</v>
      </c>
      <c r="E20" s="4">
        <f t="shared" si="3"/>
        <v>14.9</v>
      </c>
      <c r="F20" s="2">
        <v>0.5</v>
      </c>
      <c r="G20" s="4">
        <f t="shared" si="0"/>
        <v>7.45</v>
      </c>
      <c r="H20" s="4">
        <v>3.21</v>
      </c>
      <c r="I20" s="4">
        <f t="shared" si="4"/>
        <v>23.9145</v>
      </c>
      <c r="J20" s="6">
        <f t="shared" si="2"/>
        <v>285.0750886545922</v>
      </c>
      <c r="K20" s="7">
        <f>CreditCalculations1!B20</f>
        <v>31.962886848318753</v>
      </c>
      <c r="L20" s="7">
        <f>CreditCalculations1!B31</f>
        <v>15.940232729901012</v>
      </c>
      <c r="M20" s="7">
        <f>CreditCalculations1!B9</f>
        <v>62.26563416600726</v>
      </c>
      <c r="N20" s="6">
        <f t="shared" si="5"/>
        <v>174.9063349103652</v>
      </c>
      <c r="O20" s="50">
        <f t="shared" si="6"/>
        <v>4182.797546213928</v>
      </c>
      <c r="P20" s="62">
        <f t="shared" si="1"/>
      </c>
    </row>
    <row r="21" spans="1:16" ht="15.75">
      <c r="A21" s="61" t="s">
        <v>85</v>
      </c>
      <c r="B21" s="143"/>
      <c r="C21" s="1" t="s">
        <v>3</v>
      </c>
      <c r="D21" s="1">
        <v>88.16</v>
      </c>
      <c r="E21" s="4">
        <f t="shared" si="3"/>
        <v>44.08</v>
      </c>
      <c r="F21" s="2">
        <v>0.4</v>
      </c>
      <c r="G21" s="4">
        <f t="shared" si="0"/>
        <v>17.632</v>
      </c>
      <c r="H21" s="4">
        <v>3</v>
      </c>
      <c r="I21" s="4">
        <f t="shared" si="4"/>
        <v>52.896</v>
      </c>
      <c r="J21" s="6">
        <f t="shared" si="2"/>
        <v>285.0750886545922</v>
      </c>
      <c r="K21" s="7">
        <f>CreditCalculations1!B20</f>
        <v>31.962886848318753</v>
      </c>
      <c r="L21" s="7">
        <f>CreditCalculations1!B31</f>
        <v>15.940232729901012</v>
      </c>
      <c r="M21" s="7">
        <f>CreditCalculations1!B9</f>
        <v>62.26563416600726</v>
      </c>
      <c r="N21" s="6">
        <f t="shared" si="5"/>
        <v>174.9063349103652</v>
      </c>
      <c r="O21" s="50">
        <f t="shared" si="6"/>
        <v>9251.845491418677</v>
      </c>
      <c r="P21" s="62">
        <f t="shared" si="1"/>
      </c>
    </row>
    <row r="22" spans="1:16" ht="15.75">
      <c r="A22" s="61" t="s">
        <v>4</v>
      </c>
      <c r="B22" s="143"/>
      <c r="C22" s="1" t="s">
        <v>3</v>
      </c>
      <c r="D22" s="1">
        <v>5.06</v>
      </c>
      <c r="E22" s="4">
        <f t="shared" si="3"/>
        <v>2.53</v>
      </c>
      <c r="F22" s="2">
        <v>0.9</v>
      </c>
      <c r="G22" s="4">
        <f t="shared" si="0"/>
        <v>2.2769999999999997</v>
      </c>
      <c r="H22" s="4">
        <v>3.21</v>
      </c>
      <c r="I22" s="4">
        <f t="shared" si="4"/>
        <v>7.309169999999999</v>
      </c>
      <c r="J22" s="6">
        <f t="shared" si="2"/>
        <v>285.0750886545922</v>
      </c>
      <c r="K22" s="7">
        <f>CreditCalculations1!B20</f>
        <v>31.962886848318753</v>
      </c>
      <c r="L22" s="7">
        <f>CreditCalculations1!B31</f>
        <v>15.940232729901012</v>
      </c>
      <c r="M22" s="7">
        <f>CreditCalculations1!B9</f>
        <v>62.26563416600726</v>
      </c>
      <c r="N22" s="6">
        <f t="shared" si="5"/>
        <v>174.9063349103652</v>
      </c>
      <c r="O22" s="50">
        <f t="shared" si="6"/>
        <v>1278.4201359367937</v>
      </c>
      <c r="P22" s="62">
        <f t="shared" si="1"/>
      </c>
    </row>
    <row r="23" spans="1:16" ht="15.75">
      <c r="A23" s="61" t="s">
        <v>81</v>
      </c>
      <c r="B23" s="143"/>
      <c r="C23" s="1" t="s">
        <v>3</v>
      </c>
      <c r="D23" s="1">
        <v>148.15</v>
      </c>
      <c r="E23" s="4">
        <f t="shared" si="3"/>
        <v>74.075</v>
      </c>
      <c r="F23" s="2">
        <v>0.4</v>
      </c>
      <c r="G23" s="4">
        <f t="shared" si="0"/>
        <v>29.630000000000003</v>
      </c>
      <c r="H23" s="4">
        <v>1.5</v>
      </c>
      <c r="I23" s="4">
        <f t="shared" si="4"/>
        <v>44.44500000000001</v>
      </c>
      <c r="J23" s="6">
        <f t="shared" si="2"/>
        <v>285.0750886545922</v>
      </c>
      <c r="K23" s="7">
        <f>CreditCalculations1!B20</f>
        <v>31.962886848318753</v>
      </c>
      <c r="L23" s="7">
        <f>CreditCalculations1!B31</f>
        <v>15.940232729901012</v>
      </c>
      <c r="M23" s="7">
        <f>CreditCalculations1!B9</f>
        <v>62.26563416600726</v>
      </c>
      <c r="N23" s="6">
        <f t="shared" si="5"/>
        <v>174.9063349103652</v>
      </c>
      <c r="O23" s="50">
        <f t="shared" si="6"/>
        <v>7773.712055091182</v>
      </c>
      <c r="P23" s="62">
        <f t="shared" si="1"/>
      </c>
    </row>
    <row r="24" spans="1:16" ht="15.75">
      <c r="A24" s="61" t="s">
        <v>18</v>
      </c>
      <c r="B24" s="143"/>
      <c r="C24" s="1" t="s">
        <v>3</v>
      </c>
      <c r="D24" s="1">
        <v>89.95</v>
      </c>
      <c r="E24" s="4">
        <f t="shared" si="3"/>
        <v>44.975</v>
      </c>
      <c r="F24" s="2">
        <v>0.41</v>
      </c>
      <c r="G24" s="4">
        <f t="shared" si="0"/>
        <v>18.43975</v>
      </c>
      <c r="H24" s="4">
        <v>2.5</v>
      </c>
      <c r="I24" s="4">
        <f t="shared" si="4"/>
        <v>46.099375</v>
      </c>
      <c r="J24" s="6">
        <f t="shared" si="2"/>
        <v>285.0750886545922</v>
      </c>
      <c r="K24" s="7">
        <f>CreditCalculations1!B20</f>
        <v>31.962886848318753</v>
      </c>
      <c r="L24" s="7">
        <f>CreditCalculations1!B31</f>
        <v>15.940232729901012</v>
      </c>
      <c r="M24" s="7">
        <f>CreditCalculations1!B9</f>
        <v>62.26563416600726</v>
      </c>
      <c r="N24" s="6">
        <f t="shared" si="5"/>
        <v>174.9063349103652</v>
      </c>
      <c r="O24" s="50">
        <f t="shared" si="6"/>
        <v>8063.072722908517</v>
      </c>
      <c r="P24" s="62">
        <f t="shared" si="1"/>
      </c>
    </row>
    <row r="25" spans="1:16" ht="15.75">
      <c r="A25" s="61" t="s">
        <v>19</v>
      </c>
      <c r="B25" s="143"/>
      <c r="C25" s="1" t="s">
        <v>3</v>
      </c>
      <c r="D25" s="1">
        <v>127.15</v>
      </c>
      <c r="E25" s="4">
        <f t="shared" si="3"/>
        <v>63.575</v>
      </c>
      <c r="F25" s="2">
        <v>0.42</v>
      </c>
      <c r="G25" s="4">
        <f t="shared" si="0"/>
        <v>26.7015</v>
      </c>
      <c r="H25" s="4">
        <v>2</v>
      </c>
      <c r="I25" s="4">
        <f t="shared" si="4"/>
        <v>53.403</v>
      </c>
      <c r="J25" s="6">
        <f t="shared" si="2"/>
        <v>285.0750886545922</v>
      </c>
      <c r="K25" s="7">
        <f>CreditCalculations1!B20</f>
        <v>31.962886848318753</v>
      </c>
      <c r="L25" s="7">
        <f>CreditCalculations1!B31</f>
        <v>15.940232729901012</v>
      </c>
      <c r="M25" s="7">
        <f>CreditCalculations1!B9</f>
        <v>62.26563416600726</v>
      </c>
      <c r="N25" s="6">
        <f t="shared" si="5"/>
        <v>174.9063349103652</v>
      </c>
      <c r="O25" s="50">
        <f t="shared" si="6"/>
        <v>9340.523003218232</v>
      </c>
      <c r="P25" s="62">
        <f t="shared" si="1"/>
      </c>
    </row>
    <row r="26" spans="1:16" ht="15.75">
      <c r="A26" s="61" t="s">
        <v>86</v>
      </c>
      <c r="B26" s="143"/>
      <c r="C26" s="1" t="s">
        <v>3</v>
      </c>
      <c r="D26" s="1">
        <v>496.12</v>
      </c>
      <c r="E26" s="4">
        <f t="shared" si="3"/>
        <v>248.06</v>
      </c>
      <c r="F26" s="2">
        <v>0.31</v>
      </c>
      <c r="G26" s="4">
        <f t="shared" si="0"/>
        <v>76.8986</v>
      </c>
      <c r="H26" s="4">
        <v>1.5</v>
      </c>
      <c r="I26" s="4">
        <f t="shared" si="4"/>
        <v>115.34790000000001</v>
      </c>
      <c r="J26" s="6">
        <f t="shared" si="2"/>
        <v>285.0750886545922</v>
      </c>
      <c r="K26" s="7">
        <f>CreditCalculations1!B20</f>
        <v>31.962886848318753</v>
      </c>
      <c r="L26" s="7">
        <f>CreditCalculations1!B31</f>
        <v>15.940232729901012</v>
      </c>
      <c r="M26" s="7">
        <f>CreditCalculations1!B9</f>
        <v>62.26563416600726</v>
      </c>
      <c r="N26" s="6">
        <f t="shared" si="5"/>
        <v>174.9063349103652</v>
      </c>
      <c r="O26" s="50">
        <f t="shared" si="6"/>
        <v>20175.078428607314</v>
      </c>
      <c r="P26" s="62">
        <f t="shared" si="1"/>
      </c>
    </row>
    <row r="27" spans="1:16" ht="24">
      <c r="A27" s="61" t="s">
        <v>21</v>
      </c>
      <c r="B27" s="143"/>
      <c r="C27" s="1" t="s">
        <v>22</v>
      </c>
      <c r="D27" s="1">
        <v>40</v>
      </c>
      <c r="E27" s="4">
        <f t="shared" si="3"/>
        <v>20</v>
      </c>
      <c r="F27" s="2">
        <v>0.85</v>
      </c>
      <c r="G27" s="4">
        <f t="shared" si="0"/>
        <v>17</v>
      </c>
      <c r="H27" s="4">
        <v>3.21</v>
      </c>
      <c r="I27" s="4">
        <f t="shared" si="4"/>
        <v>54.57</v>
      </c>
      <c r="J27" s="6">
        <f t="shared" si="2"/>
        <v>285.0750886545922</v>
      </c>
      <c r="K27" s="7">
        <f>CreditCalculations1!B20</f>
        <v>31.962886848318753</v>
      </c>
      <c r="L27" s="7">
        <f>CreditCalculations1!B31</f>
        <v>15.940232729901012</v>
      </c>
      <c r="M27" s="7">
        <f>CreditCalculations1!B9</f>
        <v>62.26563416600726</v>
      </c>
      <c r="N27" s="6">
        <f t="shared" si="5"/>
        <v>174.9063349103652</v>
      </c>
      <c r="O27" s="50">
        <f t="shared" si="6"/>
        <v>9544.638696058628</v>
      </c>
      <c r="P27" s="62">
        <f t="shared" si="1"/>
      </c>
    </row>
    <row r="28" spans="1:16" ht="24">
      <c r="A28" s="61" t="s">
        <v>23</v>
      </c>
      <c r="B28" s="143"/>
      <c r="C28" s="1" t="s">
        <v>22</v>
      </c>
      <c r="D28" s="1">
        <v>12.48</v>
      </c>
      <c r="E28" s="4">
        <f t="shared" si="3"/>
        <v>6.24</v>
      </c>
      <c r="F28" s="2">
        <v>0.85</v>
      </c>
      <c r="G28" s="4">
        <f t="shared" si="0"/>
        <v>5.304</v>
      </c>
      <c r="H28" s="4">
        <v>3.21</v>
      </c>
      <c r="I28" s="4">
        <f t="shared" si="4"/>
        <v>17.025840000000002</v>
      </c>
      <c r="J28" s="6">
        <f t="shared" si="2"/>
        <v>285.0750886545922</v>
      </c>
      <c r="K28" s="7">
        <f>CreditCalculations1!B20</f>
        <v>31.962886848318753</v>
      </c>
      <c r="L28" s="7">
        <f>CreditCalculations1!B31</f>
        <v>15.940232729901012</v>
      </c>
      <c r="M28" s="7">
        <f>CreditCalculations1!B9</f>
        <v>62.26563416600726</v>
      </c>
      <c r="N28" s="6">
        <f t="shared" si="5"/>
        <v>174.9063349103652</v>
      </c>
      <c r="O28" s="50">
        <f t="shared" si="6"/>
        <v>2977.9272731702927</v>
      </c>
      <c r="P28" s="62">
        <f t="shared" si="1"/>
      </c>
    </row>
    <row r="29" spans="1:16" ht="24">
      <c r="A29" s="61" t="s">
        <v>24</v>
      </c>
      <c r="B29" s="143"/>
      <c r="C29" s="1" t="s">
        <v>22</v>
      </c>
      <c r="D29" s="1">
        <v>108</v>
      </c>
      <c r="E29" s="4">
        <f t="shared" si="3"/>
        <v>54</v>
      </c>
      <c r="F29" s="2">
        <v>0.7</v>
      </c>
      <c r="G29" s="4">
        <f t="shared" si="0"/>
        <v>37.8</v>
      </c>
      <c r="H29" s="4">
        <v>1.5</v>
      </c>
      <c r="I29" s="4">
        <f t="shared" si="4"/>
        <v>56.699999999999996</v>
      </c>
      <c r="J29" s="6">
        <f t="shared" si="2"/>
        <v>285.0750886545922</v>
      </c>
      <c r="K29" s="7">
        <f>CreditCalculations1!B20</f>
        <v>31.962886848318753</v>
      </c>
      <c r="L29" s="7">
        <f>CreditCalculations1!B31</f>
        <v>15.940232729901012</v>
      </c>
      <c r="M29" s="7">
        <f>CreditCalculations1!B9</f>
        <v>62.26563416600726</v>
      </c>
      <c r="N29" s="6">
        <f t="shared" si="5"/>
        <v>174.9063349103652</v>
      </c>
      <c r="O29" s="50">
        <f t="shared" si="6"/>
        <v>9917.189189417706</v>
      </c>
      <c r="P29" s="62">
        <f t="shared" si="1"/>
      </c>
    </row>
    <row r="30" spans="1:16" ht="15.75">
      <c r="A30" s="63" t="s">
        <v>44</v>
      </c>
      <c r="B30" s="144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9"/>
      <c r="P30" s="64"/>
    </row>
    <row r="31" spans="1:16" ht="15.75">
      <c r="A31" s="61" t="s">
        <v>27</v>
      </c>
      <c r="B31" s="143"/>
      <c r="C31" s="1" t="s">
        <v>3</v>
      </c>
      <c r="D31" s="5">
        <v>11.01</v>
      </c>
      <c r="E31" s="4">
        <f>D31/2</f>
        <v>5.505</v>
      </c>
      <c r="F31" s="2">
        <v>0.9</v>
      </c>
      <c r="G31" s="4">
        <f>F31*E31</f>
        <v>4.9545</v>
      </c>
      <c r="H31" s="3">
        <v>3.97</v>
      </c>
      <c r="I31" s="3">
        <f>H31*G31</f>
        <v>19.669365000000003</v>
      </c>
      <c r="J31" s="6">
        <f t="shared" si="2"/>
        <v>285.0750886545922</v>
      </c>
      <c r="K31" s="6">
        <f>CreditCalculations1!B20</f>
        <v>31.962886848318753</v>
      </c>
      <c r="L31" s="6">
        <f>CreditCalculations1!B31</f>
        <v>15.940232729901012</v>
      </c>
      <c r="M31" s="6">
        <f>CreditCalculations1!B9</f>
        <v>62.26563416600726</v>
      </c>
      <c r="N31" s="6">
        <f>J31-(SUM(K31:M31))</f>
        <v>174.9063349103652</v>
      </c>
      <c r="O31" s="48">
        <f>I31*N31</f>
        <v>3440.2965421642157</v>
      </c>
      <c r="P31" s="62">
        <f t="shared" si="1"/>
      </c>
    </row>
    <row r="32" spans="1:16" ht="15.75">
      <c r="A32" s="61" t="s">
        <v>29</v>
      </c>
      <c r="B32" s="143"/>
      <c r="C32" s="1" t="s">
        <v>3</v>
      </c>
      <c r="D32" s="1">
        <v>36.13</v>
      </c>
      <c r="E32" s="4">
        <f>D32/2</f>
        <v>18.065</v>
      </c>
      <c r="F32" s="2">
        <v>0.9</v>
      </c>
      <c r="G32" s="4">
        <f>F32*E32</f>
        <v>16.2585</v>
      </c>
      <c r="H32" s="3">
        <v>3.97</v>
      </c>
      <c r="I32" s="3">
        <f>H32*G32</f>
        <v>64.54624500000001</v>
      </c>
      <c r="J32" s="6">
        <f t="shared" si="2"/>
        <v>285.0750886545922</v>
      </c>
      <c r="K32" s="7">
        <f>CreditCalculations1!B20</f>
        <v>31.962886848318753</v>
      </c>
      <c r="L32" s="7">
        <f>CreditCalculations1!B31</f>
        <v>15.940232729901012</v>
      </c>
      <c r="M32" s="7">
        <f>CreditCalculations1!B9</f>
        <v>62.26563416600726</v>
      </c>
      <c r="N32" s="6">
        <f>J32-(SUM(K32:M32))</f>
        <v>174.9063349103652</v>
      </c>
      <c r="O32" s="50">
        <f>I32*N32</f>
        <v>11289.547145176486</v>
      </c>
      <c r="P32" s="62">
        <f t="shared" si="1"/>
      </c>
    </row>
    <row r="33" spans="1:16" ht="15.75">
      <c r="A33" s="61" t="s">
        <v>28</v>
      </c>
      <c r="B33" s="143"/>
      <c r="C33" s="1" t="s">
        <v>3</v>
      </c>
      <c r="D33" s="1">
        <v>27.92</v>
      </c>
      <c r="E33" s="4">
        <f>D33/2</f>
        <v>13.96</v>
      </c>
      <c r="F33" s="2">
        <v>0.9</v>
      </c>
      <c r="G33" s="4">
        <f>F33*E33</f>
        <v>12.564000000000002</v>
      </c>
      <c r="H33" s="3">
        <v>3.97</v>
      </c>
      <c r="I33" s="3">
        <f>H33*G33</f>
        <v>49.87908000000001</v>
      </c>
      <c r="J33" s="6">
        <f t="shared" si="2"/>
        <v>285.0750886545922</v>
      </c>
      <c r="K33" s="7">
        <f>CreditCalculations1!B20</f>
        <v>31.962886848318753</v>
      </c>
      <c r="L33" s="7">
        <f>CreditCalculations1!B31</f>
        <v>15.940232729901012</v>
      </c>
      <c r="M33" s="7">
        <f>CreditCalculations1!B9</f>
        <v>62.26563416600726</v>
      </c>
      <c r="N33" s="6">
        <f>J33-(SUM(K33:M33))</f>
        <v>174.9063349103652</v>
      </c>
      <c r="O33" s="50">
        <f>I33*N33</f>
        <v>8724.1670715009</v>
      </c>
      <c r="P33" s="62">
        <f t="shared" si="1"/>
      </c>
    </row>
    <row r="34" spans="1:16" ht="15.75">
      <c r="A34" s="63" t="s">
        <v>45</v>
      </c>
      <c r="B34" s="144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9"/>
      <c r="P34" s="64"/>
    </row>
    <row r="35" spans="1:16" ht="15.75">
      <c r="A35" s="61" t="s">
        <v>33</v>
      </c>
      <c r="B35" s="143"/>
      <c r="C35" s="1" t="s">
        <v>34</v>
      </c>
      <c r="D35" s="1">
        <v>1.29</v>
      </c>
      <c r="E35" s="4">
        <f aca="true" t="shared" si="7" ref="E35:E47">D35/2</f>
        <v>0.645</v>
      </c>
      <c r="F35" s="2">
        <v>0.85</v>
      </c>
      <c r="G35" s="4">
        <f aca="true" t="shared" si="8" ref="G35:G47">F35*E35</f>
        <v>0.54825</v>
      </c>
      <c r="H35" s="3">
        <v>2</v>
      </c>
      <c r="I35" s="3">
        <f aca="true" t="shared" si="9" ref="I35:I42">H35*G35</f>
        <v>1.0965</v>
      </c>
      <c r="J35" s="6">
        <f t="shared" si="2"/>
        <v>285.0750886545922</v>
      </c>
      <c r="K35" s="6">
        <f>CreditCalculations1!B20</f>
        <v>31.962886848318753</v>
      </c>
      <c r="L35" s="6">
        <f>CreditCalculations1!B31</f>
        <v>15.940232729901012</v>
      </c>
      <c r="M35" s="6">
        <f>CreditCalculations1!B9</f>
        <v>62.26563416600726</v>
      </c>
      <c r="N35" s="6">
        <f aca="true" t="shared" si="10" ref="N35:N42">J35-(SUM(K35:M35))</f>
        <v>174.9063349103652</v>
      </c>
      <c r="O35" s="48">
        <f aca="true" t="shared" si="11" ref="O35:O42">I35*N35</f>
        <v>191.78479622921543</v>
      </c>
      <c r="P35" s="62">
        <f t="shared" si="1"/>
      </c>
    </row>
    <row r="36" spans="1:16" ht="15.75">
      <c r="A36" s="61" t="s">
        <v>51</v>
      </c>
      <c r="B36" s="143"/>
      <c r="C36" s="1" t="s">
        <v>34</v>
      </c>
      <c r="D36" s="1">
        <v>1.62</v>
      </c>
      <c r="E36" s="4">
        <f t="shared" si="7"/>
        <v>0.81</v>
      </c>
      <c r="F36" s="2">
        <v>0.85</v>
      </c>
      <c r="G36" s="4">
        <f t="shared" si="8"/>
        <v>0.6885</v>
      </c>
      <c r="H36" s="3">
        <v>2.5</v>
      </c>
      <c r="I36" s="3">
        <f t="shared" si="9"/>
        <v>1.72125</v>
      </c>
      <c r="J36" s="6">
        <f t="shared" si="2"/>
        <v>285.0750886545922</v>
      </c>
      <c r="K36" s="6">
        <f>CreditCalculations1!B20</f>
        <v>31.962886848318753</v>
      </c>
      <c r="L36" s="6">
        <f>CreditCalculations1!B31</f>
        <v>15.940232729901012</v>
      </c>
      <c r="M36" s="6">
        <f>CreditCalculations1!B9</f>
        <v>62.26563416600726</v>
      </c>
      <c r="N36" s="6">
        <f t="shared" si="10"/>
        <v>174.9063349103652</v>
      </c>
      <c r="O36" s="48">
        <f t="shared" si="11"/>
        <v>301.0575289644661</v>
      </c>
      <c r="P36" s="62">
        <f t="shared" si="1"/>
      </c>
    </row>
    <row r="37" spans="1:16" ht="15.75">
      <c r="A37" s="61" t="s">
        <v>52</v>
      </c>
      <c r="B37" s="143"/>
      <c r="C37" s="1" t="s">
        <v>34</v>
      </c>
      <c r="D37" s="1">
        <v>1.2</v>
      </c>
      <c r="E37" s="4">
        <f t="shared" si="7"/>
        <v>0.6</v>
      </c>
      <c r="F37" s="2">
        <v>1</v>
      </c>
      <c r="G37" s="4">
        <f t="shared" si="8"/>
        <v>0.6</v>
      </c>
      <c r="H37" s="3">
        <v>3.36</v>
      </c>
      <c r="I37" s="3">
        <f t="shared" si="9"/>
        <v>2.016</v>
      </c>
      <c r="J37" s="6">
        <f t="shared" si="2"/>
        <v>285.0750886545922</v>
      </c>
      <c r="K37" s="6">
        <f>CreditCalculations1!B20</f>
        <v>31.962886848318753</v>
      </c>
      <c r="L37" s="6">
        <f>CreditCalculations1!B31</f>
        <v>15.940232729901012</v>
      </c>
      <c r="M37" s="6">
        <f>CreditCalculations1!B9</f>
        <v>62.26563416600726</v>
      </c>
      <c r="N37" s="6">
        <f t="shared" si="10"/>
        <v>174.9063349103652</v>
      </c>
      <c r="O37" s="48">
        <f t="shared" si="11"/>
        <v>352.6111711792962</v>
      </c>
      <c r="P37" s="62">
        <f t="shared" si="1"/>
      </c>
    </row>
    <row r="38" spans="1:16" ht="15.75">
      <c r="A38" s="61" t="s">
        <v>53</v>
      </c>
      <c r="B38" s="143"/>
      <c r="C38" s="1" t="s">
        <v>3</v>
      </c>
      <c r="D38" s="1">
        <v>9.11</v>
      </c>
      <c r="E38" s="4">
        <f t="shared" si="7"/>
        <v>4.555</v>
      </c>
      <c r="F38" s="2">
        <v>1</v>
      </c>
      <c r="G38" s="4">
        <f t="shared" si="8"/>
        <v>4.555</v>
      </c>
      <c r="H38" s="3">
        <v>3.36</v>
      </c>
      <c r="I38" s="3">
        <f t="shared" si="9"/>
        <v>15.304799999999998</v>
      </c>
      <c r="J38" s="6">
        <f t="shared" si="2"/>
        <v>285.0750886545922</v>
      </c>
      <c r="K38" s="6">
        <f>CreditCalculations1!B20</f>
        <v>31.962886848318753</v>
      </c>
      <c r="L38" s="6">
        <f>CreditCalculations1!B31</f>
        <v>15.940232729901012</v>
      </c>
      <c r="M38" s="6">
        <f>CreditCalculations1!B9</f>
        <v>62.26563416600726</v>
      </c>
      <c r="N38" s="6">
        <f t="shared" si="10"/>
        <v>174.9063349103652</v>
      </c>
      <c r="O38" s="48">
        <f t="shared" si="11"/>
        <v>2676.906474536157</v>
      </c>
      <c r="P38" s="62">
        <f t="shared" si="1"/>
      </c>
    </row>
    <row r="39" spans="1:16" ht="15.75">
      <c r="A39" s="61" t="s">
        <v>32</v>
      </c>
      <c r="B39" s="143"/>
      <c r="C39" s="1" t="s">
        <v>3</v>
      </c>
      <c r="D39" s="1">
        <v>79.26</v>
      </c>
      <c r="E39" s="4">
        <f t="shared" si="7"/>
        <v>39.63</v>
      </c>
      <c r="F39" s="2">
        <v>0.15</v>
      </c>
      <c r="G39" s="4">
        <f t="shared" si="8"/>
        <v>5.944500000000001</v>
      </c>
      <c r="H39" s="3">
        <v>1.5</v>
      </c>
      <c r="I39" s="3">
        <f t="shared" si="9"/>
        <v>8.91675</v>
      </c>
      <c r="J39" s="6">
        <f t="shared" si="2"/>
        <v>285.0750886545922</v>
      </c>
      <c r="K39" s="6">
        <f>CreditCalculations1!B20</f>
        <v>31.962886848318753</v>
      </c>
      <c r="L39" s="6">
        <f>CreditCalculations1!B31</f>
        <v>15.940232729901012</v>
      </c>
      <c r="M39" s="6">
        <f>CreditCalculations1!B9</f>
        <v>62.26563416600726</v>
      </c>
      <c r="N39" s="6">
        <f t="shared" si="10"/>
        <v>174.9063349103652</v>
      </c>
      <c r="O39" s="48">
        <f t="shared" si="11"/>
        <v>1559.5960618119989</v>
      </c>
      <c r="P39" s="62">
        <f t="shared" si="1"/>
      </c>
    </row>
    <row r="40" spans="1:16" ht="15.75">
      <c r="A40" s="61" t="s">
        <v>54</v>
      </c>
      <c r="B40" s="143"/>
      <c r="C40" s="1" t="s">
        <v>3</v>
      </c>
      <c r="D40" s="1">
        <v>17.57</v>
      </c>
      <c r="E40" s="4">
        <f t="shared" si="7"/>
        <v>8.785</v>
      </c>
      <c r="F40" s="2">
        <v>1</v>
      </c>
      <c r="G40" s="4">
        <f t="shared" si="8"/>
        <v>8.785</v>
      </c>
      <c r="H40" s="3">
        <v>3.36</v>
      </c>
      <c r="I40" s="3">
        <f t="shared" si="9"/>
        <v>29.517599999999998</v>
      </c>
      <c r="J40" s="6">
        <f t="shared" si="2"/>
        <v>285.0750886545922</v>
      </c>
      <c r="K40" s="7">
        <f>CreditCalculations1!B20</f>
        <v>31.962886848318753</v>
      </c>
      <c r="L40" s="7">
        <f>CreditCalculations1!B31</f>
        <v>15.940232729901012</v>
      </c>
      <c r="M40" s="7">
        <f>CreditCalculations1!B9</f>
        <v>62.26563416600726</v>
      </c>
      <c r="N40" s="6">
        <f t="shared" si="10"/>
        <v>174.9063349103652</v>
      </c>
      <c r="O40" s="50">
        <f t="shared" si="11"/>
        <v>5162.815231350195</v>
      </c>
      <c r="P40" s="62">
        <f t="shared" si="1"/>
      </c>
    </row>
    <row r="41" spans="1:16" ht="15.75">
      <c r="A41" s="61" t="s">
        <v>5</v>
      </c>
      <c r="B41" s="143"/>
      <c r="C41" s="1" t="s">
        <v>31</v>
      </c>
      <c r="D41" s="1">
        <v>2.37</v>
      </c>
      <c r="E41" s="4">
        <f t="shared" si="7"/>
        <v>1.185</v>
      </c>
      <c r="F41" s="2">
        <v>1</v>
      </c>
      <c r="G41" s="4">
        <f t="shared" si="8"/>
        <v>1.185</v>
      </c>
      <c r="H41" s="3">
        <v>3.36</v>
      </c>
      <c r="I41" s="3">
        <f t="shared" si="9"/>
        <v>3.9816000000000003</v>
      </c>
      <c r="J41" s="6">
        <f t="shared" si="2"/>
        <v>285.0750886545922</v>
      </c>
      <c r="K41" s="7">
        <f>CreditCalculations1!B20</f>
        <v>31.962886848318753</v>
      </c>
      <c r="L41" s="7">
        <f>CreditCalculations1!B31</f>
        <v>15.940232729901012</v>
      </c>
      <c r="M41" s="7">
        <f>CreditCalculations1!B9</f>
        <v>62.26563416600726</v>
      </c>
      <c r="N41" s="6">
        <f t="shared" si="10"/>
        <v>174.9063349103652</v>
      </c>
      <c r="O41" s="50">
        <f t="shared" si="11"/>
        <v>696.4070630791101</v>
      </c>
      <c r="P41" s="62">
        <f t="shared" si="1"/>
      </c>
    </row>
    <row r="42" spans="1:16" ht="15.75">
      <c r="A42" s="61" t="s">
        <v>30</v>
      </c>
      <c r="B42" s="143"/>
      <c r="C42" s="1" t="s">
        <v>3</v>
      </c>
      <c r="D42" s="1">
        <v>31.45</v>
      </c>
      <c r="E42" s="4">
        <f t="shared" si="7"/>
        <v>15.725</v>
      </c>
      <c r="F42" s="2">
        <v>1</v>
      </c>
      <c r="G42" s="4">
        <f t="shared" si="8"/>
        <v>15.725</v>
      </c>
      <c r="H42" s="3">
        <v>3.36</v>
      </c>
      <c r="I42" s="3">
        <f t="shared" si="9"/>
        <v>52.836</v>
      </c>
      <c r="J42" s="6">
        <f t="shared" si="2"/>
        <v>285.0750886545922</v>
      </c>
      <c r="K42" s="7">
        <f>CreditCalculations1!B20</f>
        <v>31.962886848318753</v>
      </c>
      <c r="L42" s="7">
        <f>CreditCalculations1!B31</f>
        <v>15.940232729901012</v>
      </c>
      <c r="M42" s="7">
        <f>CreditCalculations1!B9</f>
        <v>62.26563416600726</v>
      </c>
      <c r="N42" s="6">
        <f t="shared" si="10"/>
        <v>174.9063349103652</v>
      </c>
      <c r="O42" s="50">
        <f t="shared" si="11"/>
        <v>9241.351111324055</v>
      </c>
      <c r="P42" s="62">
        <f t="shared" si="1"/>
      </c>
    </row>
    <row r="43" spans="1:16" ht="15.75">
      <c r="A43" s="65" t="s">
        <v>6</v>
      </c>
      <c r="B43" s="14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56"/>
      <c r="P43" s="67"/>
    </row>
    <row r="44" spans="1:16" ht="15.75">
      <c r="A44" s="68" t="s">
        <v>35</v>
      </c>
      <c r="B44" s="146"/>
      <c r="C44" s="1" t="s">
        <v>3</v>
      </c>
      <c r="D44" s="1">
        <v>6.97</v>
      </c>
      <c r="E44" s="4">
        <f t="shared" si="7"/>
        <v>3.485</v>
      </c>
      <c r="F44" s="2">
        <v>1</v>
      </c>
      <c r="G44" s="4">
        <f t="shared" si="8"/>
        <v>3.485</v>
      </c>
      <c r="H44" s="3">
        <v>3.97</v>
      </c>
      <c r="I44" s="3">
        <f>H44*G44</f>
        <v>13.83545</v>
      </c>
      <c r="J44" s="6">
        <f t="shared" si="2"/>
        <v>285.0750886545922</v>
      </c>
      <c r="K44" s="6">
        <f>CreditCalculations1!B20</f>
        <v>31.962886848318753</v>
      </c>
      <c r="L44" s="6">
        <f>CreditCalculations1!B31</f>
        <v>15.940232729901012</v>
      </c>
      <c r="M44" s="6">
        <f>CreditCalculations1!B9</f>
        <v>62.26563416600726</v>
      </c>
      <c r="N44" s="6">
        <f>J44-(SUM(K44:M44))</f>
        <v>174.9063349103652</v>
      </c>
      <c r="O44" s="48">
        <f>I44*N44</f>
        <v>2419.907851335612</v>
      </c>
      <c r="P44" s="62">
        <f t="shared" si="1"/>
      </c>
    </row>
    <row r="45" spans="1:16" ht="24">
      <c r="A45" s="61" t="s">
        <v>55</v>
      </c>
      <c r="B45" s="143"/>
      <c r="C45" s="1" t="s">
        <v>3</v>
      </c>
      <c r="D45" s="1">
        <v>1.5</v>
      </c>
      <c r="E45" s="4">
        <f t="shared" si="7"/>
        <v>0.75</v>
      </c>
      <c r="F45" s="2">
        <v>1</v>
      </c>
      <c r="G45" s="4">
        <f t="shared" si="8"/>
        <v>0.75</v>
      </c>
      <c r="H45" s="3">
        <v>3.97</v>
      </c>
      <c r="I45" s="3">
        <f>H45*G45</f>
        <v>2.9775</v>
      </c>
      <c r="J45" s="6">
        <f t="shared" si="2"/>
        <v>285.0750886545922</v>
      </c>
      <c r="K45" s="7">
        <f>CreditCalculations1!B20</f>
        <v>31.962886848318753</v>
      </c>
      <c r="L45" s="7">
        <f>CreditCalculations1!B31</f>
        <v>15.940232729901012</v>
      </c>
      <c r="M45" s="7">
        <f>CreditCalculations1!B9</f>
        <v>62.26563416600726</v>
      </c>
      <c r="N45" s="6">
        <f>J45-(SUM(K45:M45))</f>
        <v>174.9063349103652</v>
      </c>
      <c r="O45" s="50">
        <f>I45*N45</f>
        <v>520.7836121956124</v>
      </c>
      <c r="P45" s="62">
        <f t="shared" si="1"/>
      </c>
    </row>
    <row r="46" spans="1:16" ht="15.75">
      <c r="A46" s="61" t="s">
        <v>36</v>
      </c>
      <c r="B46" s="143"/>
      <c r="C46" s="1" t="s">
        <v>3</v>
      </c>
      <c r="D46" s="1">
        <v>4.96</v>
      </c>
      <c r="E46" s="4">
        <f t="shared" si="7"/>
        <v>2.48</v>
      </c>
      <c r="F46" s="2">
        <v>1</v>
      </c>
      <c r="G46" s="4">
        <f t="shared" si="8"/>
        <v>2.48</v>
      </c>
      <c r="H46" s="3">
        <v>3.97</v>
      </c>
      <c r="I46" s="3">
        <f>H46*G46</f>
        <v>9.845600000000001</v>
      </c>
      <c r="J46" s="6">
        <f t="shared" si="2"/>
        <v>285.0750886545922</v>
      </c>
      <c r="K46" s="7">
        <f>CreditCalculations1!B20</f>
        <v>31.962886848318753</v>
      </c>
      <c r="L46" s="7">
        <f>CreditCalculations1!B31</f>
        <v>15.940232729901012</v>
      </c>
      <c r="M46" s="7">
        <f>CreditCalculations1!B9</f>
        <v>62.26563416600726</v>
      </c>
      <c r="N46" s="6">
        <f>J46-(SUM(K46:M46))</f>
        <v>174.9063349103652</v>
      </c>
      <c r="O46" s="50">
        <f>I46*N46</f>
        <v>1722.0578109934918</v>
      </c>
      <c r="P46" s="62">
        <f t="shared" si="1"/>
      </c>
    </row>
    <row r="47" spans="1:16" ht="16.5" thickBot="1">
      <c r="A47" s="69" t="s">
        <v>7</v>
      </c>
      <c r="B47" s="147"/>
      <c r="C47" s="70" t="s">
        <v>3</v>
      </c>
      <c r="D47" s="71">
        <v>2.5</v>
      </c>
      <c r="E47" s="72">
        <f t="shared" si="7"/>
        <v>1.25</v>
      </c>
      <c r="F47" s="73">
        <v>1</v>
      </c>
      <c r="G47" s="72">
        <f t="shared" si="8"/>
        <v>1.25</v>
      </c>
      <c r="H47" s="74">
        <v>3.97</v>
      </c>
      <c r="I47" s="74">
        <f>H47*G47</f>
        <v>4.9625</v>
      </c>
      <c r="J47" s="75">
        <f t="shared" si="2"/>
        <v>285.0750886545922</v>
      </c>
      <c r="K47" s="76">
        <f>CreditCalculations1!B20</f>
        <v>31.962886848318753</v>
      </c>
      <c r="L47" s="76">
        <f>CreditCalculations1!B31</f>
        <v>15.940232729901012</v>
      </c>
      <c r="M47" s="76">
        <f>CreditCalculations1!B9</f>
        <v>62.26563416600726</v>
      </c>
      <c r="N47" s="75">
        <f>J47-(SUM(K47:M47))</f>
        <v>174.9063349103652</v>
      </c>
      <c r="O47" s="77">
        <f>I47*N47</f>
        <v>867.9726869926873</v>
      </c>
      <c r="P47" s="78">
        <f t="shared" si="1"/>
      </c>
    </row>
    <row r="48" spans="1:16" ht="21.75" customHeight="1" thickBot="1">
      <c r="A48" s="175" t="s">
        <v>139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80"/>
      <c r="N48" s="66"/>
      <c r="O48" s="79" t="s">
        <v>101</v>
      </c>
      <c r="P48" s="81">
        <f>SUM(P5:P47)</f>
        <v>0</v>
      </c>
    </row>
    <row r="49" ht="12.75">
      <c r="A49" s="82"/>
    </row>
  </sheetData>
  <sheetProtection sheet="1" objects="1" scenarios="1"/>
  <mergeCells count="2">
    <mergeCell ref="A1:P2"/>
    <mergeCell ref="A48:L48"/>
  </mergeCells>
  <printOptions/>
  <pageMargins left="0.44" right="0.75" top="0.55" bottom="0.46" header="0.67" footer="0.23"/>
  <pageSetup fitToHeight="1" fitToWidth="1" horizontalDpi="600" verticalDpi="600" orientation="landscape" scale="64" r:id="rId1"/>
  <headerFooter alignWithMargins="0">
    <oddFooter>&amp;LBeaufort County, SC&amp;CRoad Impact Fee Calculation
Bluffton - Okatie&amp;ROctober 24, 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view="pageBreakPreview" zoomScale="75" zoomScaleNormal="75" zoomScaleSheetLayoutView="75" zoomScalePageLayoutView="0" workbookViewId="0" topLeftCell="A1">
      <selection activeCell="A10" sqref="A10"/>
    </sheetView>
  </sheetViews>
  <sheetFormatPr defaultColWidth="10.421875" defaultRowHeight="12.75"/>
  <cols>
    <col min="1" max="1" width="28.57421875" style="0" customWidth="1"/>
    <col min="2" max="2" width="18.28125" style="0" customWidth="1"/>
    <col min="3" max="7" width="10.421875" style="0" customWidth="1"/>
    <col min="8" max="8" width="11.00390625" style="0" customWidth="1"/>
    <col min="9" max="9" width="10.421875" style="0" customWidth="1"/>
    <col min="10" max="10" width="10.421875" style="31" customWidth="1"/>
    <col min="11" max="13" width="10.421875" style="0" customWidth="1"/>
    <col min="14" max="14" width="13.8515625" style="0" customWidth="1"/>
    <col min="15" max="15" width="10.421875" style="0" customWidth="1"/>
    <col min="16" max="16" width="13.140625" style="0" customWidth="1"/>
    <col min="17" max="18" width="10.421875" style="0" customWidth="1"/>
    <col min="19" max="19" width="13.00390625" style="0" customWidth="1"/>
  </cols>
  <sheetData>
    <row r="1" spans="1:19" ht="12.75">
      <c r="A1" s="168" t="s">
        <v>131</v>
      </c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1"/>
    </row>
    <row r="2" spans="1:19" ht="12.75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4"/>
    </row>
    <row r="3" spans="1:19" ht="47.25">
      <c r="A3" s="57" t="s">
        <v>0</v>
      </c>
      <c r="B3" s="55" t="s">
        <v>95</v>
      </c>
      <c r="C3" s="55" t="s">
        <v>1</v>
      </c>
      <c r="D3" s="55" t="s">
        <v>38</v>
      </c>
      <c r="E3" s="55" t="s">
        <v>37</v>
      </c>
      <c r="F3" s="55" t="s">
        <v>8</v>
      </c>
      <c r="G3" s="55" t="s">
        <v>13</v>
      </c>
      <c r="H3" s="55" t="s">
        <v>93</v>
      </c>
      <c r="I3" s="55" t="s">
        <v>94</v>
      </c>
      <c r="J3" s="55" t="s">
        <v>14</v>
      </c>
      <c r="K3" s="55" t="s">
        <v>12</v>
      </c>
      <c r="L3" s="55" t="s">
        <v>10</v>
      </c>
      <c r="M3" s="55" t="s">
        <v>98</v>
      </c>
      <c r="N3" s="55" t="s">
        <v>99</v>
      </c>
      <c r="O3" s="55" t="s">
        <v>100</v>
      </c>
      <c r="P3" s="55" t="s">
        <v>132</v>
      </c>
      <c r="Q3" s="55" t="s">
        <v>11</v>
      </c>
      <c r="R3" s="55" t="s">
        <v>133</v>
      </c>
      <c r="S3" s="58" t="s">
        <v>91</v>
      </c>
    </row>
    <row r="4" spans="1:19" ht="12.75">
      <c r="A4" s="59" t="s">
        <v>9</v>
      </c>
      <c r="B4" s="148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60"/>
    </row>
    <row r="5" spans="1:19" ht="15.75">
      <c r="A5" s="61" t="s">
        <v>15</v>
      </c>
      <c r="B5" s="143"/>
      <c r="C5" s="1" t="s">
        <v>2</v>
      </c>
      <c r="D5" s="1">
        <v>9.57</v>
      </c>
      <c r="E5" s="4">
        <f>D5/2</f>
        <v>4.785</v>
      </c>
      <c r="F5" s="2">
        <v>1</v>
      </c>
      <c r="G5" s="4">
        <f>F5*E5</f>
        <v>4.785</v>
      </c>
      <c r="H5" s="51">
        <v>0.38</v>
      </c>
      <c r="I5" s="4">
        <f>G5*H5</f>
        <v>1.8183</v>
      </c>
      <c r="J5" s="1">
        <v>3.66</v>
      </c>
      <c r="K5" s="3">
        <f>J5*I5</f>
        <v>6.654978000000001</v>
      </c>
      <c r="L5" s="6">
        <f>CostperVMTCalcs!A19</f>
        <v>282.5602530769804</v>
      </c>
      <c r="M5" s="6">
        <f>CreditCalculations1!B20</f>
        <v>31.962886848318753</v>
      </c>
      <c r="N5" s="6">
        <f>CreditCalculations1!B31</f>
        <v>15.940232729901012</v>
      </c>
      <c r="O5" s="6">
        <f>CreditCalculations1!B9</f>
        <v>62.26563416600726</v>
      </c>
      <c r="P5" s="6">
        <v>3.19</v>
      </c>
      <c r="Q5" s="6">
        <f>L5-(SUM(M5:P5))</f>
        <v>169.2014993327534</v>
      </c>
      <c r="R5" s="48">
        <f>K5*Q5</f>
        <v>1126.0322556264887</v>
      </c>
      <c r="S5" s="62">
        <f>IF(B5="","",B5*R5)</f>
      </c>
    </row>
    <row r="6" spans="1:19" ht="15.75">
      <c r="A6" s="61" t="s">
        <v>39</v>
      </c>
      <c r="B6" s="143"/>
      <c r="C6" s="1" t="s">
        <v>2</v>
      </c>
      <c r="D6" s="1">
        <v>6.72</v>
      </c>
      <c r="E6" s="4">
        <f>D6/2</f>
        <v>3.36</v>
      </c>
      <c r="F6" s="2">
        <v>1</v>
      </c>
      <c r="G6" s="4">
        <f>F6*E6</f>
        <v>3.36</v>
      </c>
      <c r="H6" s="51">
        <f>$H$5</f>
        <v>0.38</v>
      </c>
      <c r="I6" s="4">
        <f aca="true" t="shared" si="0" ref="I6:I27">G6*H6</f>
        <v>1.2768</v>
      </c>
      <c r="J6" s="1">
        <v>3.66</v>
      </c>
      <c r="K6" s="3">
        <f aca="true" t="shared" si="1" ref="K6:K45">J6*I6</f>
        <v>4.673088</v>
      </c>
      <c r="L6" s="6">
        <f>$L$5</f>
        <v>282.5602530769804</v>
      </c>
      <c r="M6" s="6">
        <f>CreditCalculations1!B20</f>
        <v>31.962886848318753</v>
      </c>
      <c r="N6" s="6">
        <f>CreditCalculations1!B31</f>
        <v>15.940232729901012</v>
      </c>
      <c r="O6" s="6">
        <f>CreditCalculations1!B9</f>
        <v>62.26563416600726</v>
      </c>
      <c r="P6" s="6">
        <f>P5</f>
        <v>3.19</v>
      </c>
      <c r="Q6" s="6">
        <f aca="true" t="shared" si="2" ref="Q6:Q45">L6-(SUM(M6:P6))</f>
        <v>169.2014993327534</v>
      </c>
      <c r="R6" s="48">
        <f>K6*Q6</f>
        <v>790.6934961138979</v>
      </c>
      <c r="S6" s="62">
        <f aca="true" t="shared" si="3" ref="S6:S45">IF(B6="","",B6*R6)</f>
      </c>
    </row>
    <row r="7" spans="1:19" ht="15.75">
      <c r="A7" s="61" t="s">
        <v>82</v>
      </c>
      <c r="B7" s="143"/>
      <c r="C7" s="1" t="s">
        <v>2</v>
      </c>
      <c r="D7" s="1">
        <v>5.86</v>
      </c>
      <c r="E7" s="4">
        <f>D7/2</f>
        <v>2.93</v>
      </c>
      <c r="F7" s="2">
        <v>1</v>
      </c>
      <c r="G7" s="4">
        <f>F7*E7</f>
        <v>2.93</v>
      </c>
      <c r="H7" s="51">
        <f>$H$5</f>
        <v>0.38</v>
      </c>
      <c r="I7" s="4">
        <f t="shared" si="0"/>
        <v>1.1134000000000002</v>
      </c>
      <c r="J7" s="1">
        <v>3.66</v>
      </c>
      <c r="K7" s="3">
        <f t="shared" si="1"/>
        <v>4.075044000000001</v>
      </c>
      <c r="L7" s="6">
        <f>$L$5</f>
        <v>282.5602530769804</v>
      </c>
      <c r="M7" s="6">
        <f>CreditCalculations1!B20</f>
        <v>31.962886848318753</v>
      </c>
      <c r="N7" s="6">
        <f>CreditCalculations1!B31</f>
        <v>15.940232729901012</v>
      </c>
      <c r="O7" s="6">
        <f>CreditCalculations1!B9</f>
        <v>62.26563416600726</v>
      </c>
      <c r="P7" s="6">
        <f>P6</f>
        <v>3.19</v>
      </c>
      <c r="Q7" s="6">
        <f t="shared" si="2"/>
        <v>169.2014993327534</v>
      </c>
      <c r="R7" s="48">
        <f>K7*Q7</f>
        <v>689.5035546469409</v>
      </c>
      <c r="S7" s="62">
        <f t="shared" si="3"/>
      </c>
    </row>
    <row r="8" spans="1:19" ht="15.75">
      <c r="A8" s="61" t="s">
        <v>46</v>
      </c>
      <c r="B8" s="143"/>
      <c r="C8" s="1" t="s">
        <v>2</v>
      </c>
      <c r="D8" s="1">
        <v>3.48</v>
      </c>
      <c r="E8" s="4">
        <f>D8/2</f>
        <v>1.74</v>
      </c>
      <c r="F8" s="2">
        <v>1</v>
      </c>
      <c r="G8" s="4">
        <f>F8*E8</f>
        <v>1.74</v>
      </c>
      <c r="H8" s="51">
        <f>$H$5</f>
        <v>0.38</v>
      </c>
      <c r="I8" s="4">
        <f t="shared" si="0"/>
        <v>0.6612</v>
      </c>
      <c r="J8" s="1">
        <v>3.66</v>
      </c>
      <c r="K8" s="3">
        <f t="shared" si="1"/>
        <v>2.419992</v>
      </c>
      <c r="L8" s="6">
        <f>$L$5</f>
        <v>282.5602530769804</v>
      </c>
      <c r="M8" s="6">
        <f>CreditCalculations1!B20</f>
        <v>31.962886848318753</v>
      </c>
      <c r="N8" s="6">
        <f>CreditCalculations1!B31</f>
        <v>15.940232729901012</v>
      </c>
      <c r="O8" s="6">
        <f>CreditCalculations1!B9</f>
        <v>62.26563416600726</v>
      </c>
      <c r="P8" s="6">
        <f>P7</f>
        <v>3.19</v>
      </c>
      <c r="Q8" s="6">
        <f t="shared" si="2"/>
        <v>169.2014993327534</v>
      </c>
      <c r="R8" s="48">
        <f>K8*Q8</f>
        <v>409.4662747732686</v>
      </c>
      <c r="S8" s="62">
        <f t="shared" si="3"/>
      </c>
    </row>
    <row r="9" spans="1:19" ht="24">
      <c r="A9" s="61" t="s">
        <v>47</v>
      </c>
      <c r="B9" s="143"/>
      <c r="C9" s="1" t="s">
        <v>31</v>
      </c>
      <c r="D9" s="1">
        <v>2.81</v>
      </c>
      <c r="E9" s="4">
        <f>D9/2</f>
        <v>1.405</v>
      </c>
      <c r="F9" s="2">
        <v>1</v>
      </c>
      <c r="G9" s="4">
        <f>F9*E9</f>
        <v>1.405</v>
      </c>
      <c r="H9" s="51">
        <f>$H$5</f>
        <v>0.38</v>
      </c>
      <c r="I9" s="4">
        <f t="shared" si="0"/>
        <v>0.5339</v>
      </c>
      <c r="J9" s="1">
        <v>3.66</v>
      </c>
      <c r="K9" s="3">
        <f t="shared" si="1"/>
        <v>1.9540740000000003</v>
      </c>
      <c r="L9" s="6">
        <f>$L$5</f>
        <v>282.5602530769804</v>
      </c>
      <c r="M9" s="6">
        <f>CreditCalculations1!B20</f>
        <v>31.962886848318753</v>
      </c>
      <c r="N9" s="6">
        <f>CreditCalculations1!B31</f>
        <v>15.940232729901012</v>
      </c>
      <c r="O9" s="6">
        <f>CreditCalculations1!B9</f>
        <v>62.26563416600726</v>
      </c>
      <c r="P9" s="6">
        <f>P8</f>
        <v>3.19</v>
      </c>
      <c r="Q9" s="6">
        <f t="shared" si="2"/>
        <v>169.2014993327534</v>
      </c>
      <c r="R9" s="48">
        <f>K9*Q9</f>
        <v>330.6322506071508</v>
      </c>
      <c r="S9" s="62">
        <f t="shared" si="3"/>
      </c>
    </row>
    <row r="10" spans="1:19" ht="15.75">
      <c r="A10" s="63" t="s">
        <v>43</v>
      </c>
      <c r="B10" s="144"/>
      <c r="C10" s="47"/>
      <c r="D10" s="47"/>
      <c r="E10" s="47"/>
      <c r="F10" s="47"/>
      <c r="G10" s="47"/>
      <c r="H10" s="52"/>
      <c r="I10" s="4"/>
      <c r="J10" s="53"/>
      <c r="K10" s="3"/>
      <c r="L10" s="47"/>
      <c r="M10" s="47"/>
      <c r="N10" s="47"/>
      <c r="O10" s="47"/>
      <c r="P10" s="6"/>
      <c r="Q10" s="6"/>
      <c r="R10" s="49"/>
      <c r="S10" s="64">
        <f t="shared" si="3"/>
      </c>
    </row>
    <row r="11" spans="1:19" ht="15.75">
      <c r="A11" s="61" t="s">
        <v>41</v>
      </c>
      <c r="B11" s="143"/>
      <c r="C11" s="1" t="s">
        <v>42</v>
      </c>
      <c r="D11" s="1">
        <v>8.17</v>
      </c>
      <c r="E11" s="4">
        <f>D11/2</f>
        <v>4.085</v>
      </c>
      <c r="F11" s="2">
        <v>1</v>
      </c>
      <c r="G11" s="4">
        <f>F11*E11</f>
        <v>4.085</v>
      </c>
      <c r="H11" s="51">
        <f>$H$5</f>
        <v>0.38</v>
      </c>
      <c r="I11" s="4">
        <f t="shared" si="0"/>
        <v>1.5523</v>
      </c>
      <c r="J11" s="4">
        <v>3.21</v>
      </c>
      <c r="K11" s="3">
        <f t="shared" si="1"/>
        <v>4.982883</v>
      </c>
      <c r="L11" s="6">
        <f>$L$5</f>
        <v>282.5602530769804</v>
      </c>
      <c r="M11" s="6">
        <f>CreditCalculations1!B20</f>
        <v>31.962886848318753</v>
      </c>
      <c r="N11" s="6">
        <f>CreditCalculations1!B31</f>
        <v>15.940232729901012</v>
      </c>
      <c r="O11" s="6">
        <f>CreditCalculations1!B9</f>
        <v>62.26563416600726</v>
      </c>
      <c r="P11" s="6">
        <f>P$5</f>
        <v>3.19</v>
      </c>
      <c r="Q11" s="6">
        <f t="shared" si="2"/>
        <v>169.2014993327534</v>
      </c>
      <c r="R11" s="48">
        <f>K11*Q11</f>
        <v>843.1112745996883</v>
      </c>
      <c r="S11" s="62">
        <f t="shared" si="3"/>
      </c>
    </row>
    <row r="12" spans="1:19" ht="15.75">
      <c r="A12" s="61" t="s">
        <v>25</v>
      </c>
      <c r="B12" s="143"/>
      <c r="C12" s="1" t="s">
        <v>26</v>
      </c>
      <c r="D12" s="1">
        <v>35.74</v>
      </c>
      <c r="E12" s="1">
        <f aca="true" t="shared" si="4" ref="E12:E27">D12/2</f>
        <v>17.87</v>
      </c>
      <c r="F12" s="2">
        <v>0.9</v>
      </c>
      <c r="G12" s="4">
        <f aca="true" t="shared" si="5" ref="G12:G27">F12*E12</f>
        <v>16.083000000000002</v>
      </c>
      <c r="H12" s="51">
        <f aca="true" t="shared" si="6" ref="H12:H27">$H$5</f>
        <v>0.38</v>
      </c>
      <c r="I12" s="4">
        <f t="shared" si="0"/>
        <v>6.111540000000001</v>
      </c>
      <c r="J12" s="4">
        <v>3.21</v>
      </c>
      <c r="K12" s="3">
        <f t="shared" si="1"/>
        <v>19.6180434</v>
      </c>
      <c r="L12" s="6">
        <f aca="true" t="shared" si="7" ref="L12:L27">$L$5</f>
        <v>282.5602530769804</v>
      </c>
      <c r="M12" s="6">
        <f>CreditCalculations1!B20</f>
        <v>31.962886848318753</v>
      </c>
      <c r="N12" s="6">
        <f>CreditCalculations1!B31</f>
        <v>15.940232729901012</v>
      </c>
      <c r="O12" s="6">
        <f>CreditCalculations1!B9</f>
        <v>62.26563416600726</v>
      </c>
      <c r="P12" s="6">
        <f aca="true" t="shared" si="8" ref="P12:P27">P$5</f>
        <v>3.19</v>
      </c>
      <c r="Q12" s="6">
        <f t="shared" si="2"/>
        <v>169.2014993327534</v>
      </c>
      <c r="R12" s="48">
        <f aca="true" t="shared" si="9" ref="R12:R27">K12*Q12</f>
        <v>3319.4023572550273</v>
      </c>
      <c r="S12" s="62">
        <f t="shared" si="3"/>
      </c>
    </row>
    <row r="13" spans="1:19" ht="15.75">
      <c r="A13" s="61" t="s">
        <v>48</v>
      </c>
      <c r="B13" s="143"/>
      <c r="C13" s="1" t="s">
        <v>17</v>
      </c>
      <c r="D13" s="1">
        <v>146.3</v>
      </c>
      <c r="E13" s="1">
        <f t="shared" si="4"/>
        <v>73.15</v>
      </c>
      <c r="F13" s="2">
        <v>0.9</v>
      </c>
      <c r="G13" s="4">
        <f t="shared" si="5"/>
        <v>65.83500000000001</v>
      </c>
      <c r="H13" s="51">
        <f t="shared" si="6"/>
        <v>0.38</v>
      </c>
      <c r="I13" s="4">
        <f t="shared" si="0"/>
        <v>25.017300000000002</v>
      </c>
      <c r="J13" s="4">
        <v>3.21</v>
      </c>
      <c r="K13" s="3">
        <f t="shared" si="1"/>
        <v>80.30553300000001</v>
      </c>
      <c r="L13" s="6">
        <f t="shared" si="7"/>
        <v>282.5602530769804</v>
      </c>
      <c r="M13" s="7">
        <f>CreditCalculations1!B20</f>
        <v>31.962886848318753</v>
      </c>
      <c r="N13" s="7">
        <f>CreditCalculations1!B31</f>
        <v>15.940232729901012</v>
      </c>
      <c r="O13" s="7">
        <f>CreditCalculations1!B9</f>
        <v>62.26563416600726</v>
      </c>
      <c r="P13" s="6">
        <f t="shared" si="8"/>
        <v>3.19</v>
      </c>
      <c r="Q13" s="6">
        <f t="shared" si="2"/>
        <v>169.2014993327534</v>
      </c>
      <c r="R13" s="50">
        <f t="shared" si="9"/>
        <v>13587.816588315907</v>
      </c>
      <c r="S13" s="62">
        <f t="shared" si="3"/>
      </c>
    </row>
    <row r="14" spans="1:19" ht="15.75">
      <c r="A14" s="61" t="s">
        <v>49</v>
      </c>
      <c r="B14" s="143"/>
      <c r="C14" s="1" t="s">
        <v>3</v>
      </c>
      <c r="D14" s="5">
        <v>42.94</v>
      </c>
      <c r="E14" s="4">
        <f t="shared" si="4"/>
        <v>21.47</v>
      </c>
      <c r="F14" s="2">
        <v>0.56</v>
      </c>
      <c r="G14" s="4">
        <f t="shared" si="5"/>
        <v>12.023200000000001</v>
      </c>
      <c r="H14" s="51">
        <f t="shared" si="6"/>
        <v>0.38</v>
      </c>
      <c r="I14" s="4">
        <f t="shared" si="0"/>
        <v>4.568816</v>
      </c>
      <c r="J14" s="4">
        <v>3</v>
      </c>
      <c r="K14" s="3">
        <f t="shared" si="1"/>
        <v>13.706448</v>
      </c>
      <c r="L14" s="6">
        <f t="shared" si="7"/>
        <v>282.5602530769804</v>
      </c>
      <c r="M14" s="7">
        <f>CreditCalculations1!B20</f>
        <v>31.962886848318753</v>
      </c>
      <c r="N14" s="7">
        <f>CreditCalculations1!B31</f>
        <v>15.940232729901012</v>
      </c>
      <c r="O14" s="7">
        <f>CreditCalculations1!B9</f>
        <v>62.26563416600726</v>
      </c>
      <c r="P14" s="6">
        <f t="shared" si="8"/>
        <v>3.19</v>
      </c>
      <c r="Q14" s="6">
        <f t="shared" si="2"/>
        <v>169.2014993327534</v>
      </c>
      <c r="R14" s="50">
        <f t="shared" si="9"/>
        <v>2319.151552126419</v>
      </c>
      <c r="S14" s="62">
        <f t="shared" si="3"/>
      </c>
    </row>
    <row r="15" spans="1:19" ht="15.75">
      <c r="A15" s="61" t="s">
        <v>20</v>
      </c>
      <c r="B15" s="143"/>
      <c r="C15" s="1" t="s">
        <v>3</v>
      </c>
      <c r="D15" s="1">
        <v>33.34</v>
      </c>
      <c r="E15" s="4">
        <f t="shared" si="4"/>
        <v>16.67</v>
      </c>
      <c r="F15" s="2">
        <v>0.9</v>
      </c>
      <c r="G15" s="4">
        <f t="shared" si="5"/>
        <v>15.003000000000002</v>
      </c>
      <c r="H15" s="51">
        <f t="shared" si="6"/>
        <v>0.38</v>
      </c>
      <c r="I15" s="4">
        <f t="shared" si="0"/>
        <v>5.7011400000000005</v>
      </c>
      <c r="J15" s="4">
        <v>3.21</v>
      </c>
      <c r="K15" s="3">
        <f t="shared" si="1"/>
        <v>18.3006594</v>
      </c>
      <c r="L15" s="6">
        <f t="shared" si="7"/>
        <v>282.5602530769804</v>
      </c>
      <c r="M15" s="7">
        <f>CreditCalculations1!B20</f>
        <v>31.962886848318753</v>
      </c>
      <c r="N15" s="7">
        <f>CreditCalculations1!B31</f>
        <v>15.940232729901012</v>
      </c>
      <c r="O15" s="7">
        <f>CreditCalculations1!B9</f>
        <v>62.26563416600726</v>
      </c>
      <c r="P15" s="6">
        <f t="shared" si="8"/>
        <v>3.19</v>
      </c>
      <c r="Q15" s="6">
        <f t="shared" si="2"/>
        <v>169.2014993327534</v>
      </c>
      <c r="R15" s="50">
        <f t="shared" si="9"/>
        <v>3096.4990092580474</v>
      </c>
      <c r="S15" s="62">
        <f t="shared" si="3"/>
      </c>
    </row>
    <row r="16" spans="1:19" ht="24">
      <c r="A16" s="61" t="s">
        <v>83</v>
      </c>
      <c r="B16" s="143"/>
      <c r="C16" s="1" t="s">
        <v>3</v>
      </c>
      <c r="D16" s="1">
        <v>460.05</v>
      </c>
      <c r="E16" s="4">
        <f t="shared" si="4"/>
        <v>230.025</v>
      </c>
      <c r="F16" s="2">
        <v>0.26</v>
      </c>
      <c r="G16" s="4">
        <f t="shared" si="5"/>
        <v>59.80650000000001</v>
      </c>
      <c r="H16" s="51">
        <f t="shared" si="6"/>
        <v>0.38</v>
      </c>
      <c r="I16" s="4">
        <f t="shared" si="0"/>
        <v>22.726470000000003</v>
      </c>
      <c r="J16" s="4">
        <v>1.5</v>
      </c>
      <c r="K16" s="3">
        <f t="shared" si="1"/>
        <v>34.089705</v>
      </c>
      <c r="L16" s="6">
        <f t="shared" si="7"/>
        <v>282.5602530769804</v>
      </c>
      <c r="M16" s="7">
        <f>CreditCalculations1!B20</f>
        <v>31.962886848318753</v>
      </c>
      <c r="N16" s="7">
        <f>CreditCalculations1!B31</f>
        <v>15.940232729901012</v>
      </c>
      <c r="O16" s="7">
        <f>CreditCalculations1!B9</f>
        <v>62.26563416600726</v>
      </c>
      <c r="P16" s="6">
        <f t="shared" si="8"/>
        <v>3.19</v>
      </c>
      <c r="Q16" s="6">
        <f t="shared" si="2"/>
        <v>169.2014993327534</v>
      </c>
      <c r="R16" s="50">
        <f t="shared" si="9"/>
        <v>5768.029197811261</v>
      </c>
      <c r="S16" s="62">
        <f t="shared" si="3"/>
      </c>
    </row>
    <row r="17" spans="1:19" ht="24">
      <c r="A17" s="61" t="s">
        <v>84</v>
      </c>
      <c r="B17" s="143"/>
      <c r="C17" s="1" t="s">
        <v>16</v>
      </c>
      <c r="D17" s="1">
        <v>179.8</v>
      </c>
      <c r="E17" s="4">
        <f t="shared" si="4"/>
        <v>89.9</v>
      </c>
      <c r="F17" s="2">
        <v>0.26</v>
      </c>
      <c r="G17" s="4">
        <f t="shared" si="5"/>
        <v>23.374000000000002</v>
      </c>
      <c r="H17" s="51">
        <f t="shared" si="6"/>
        <v>0.38</v>
      </c>
      <c r="I17" s="4">
        <f t="shared" si="0"/>
        <v>8.88212</v>
      </c>
      <c r="J17" s="4">
        <v>1.5</v>
      </c>
      <c r="K17" s="3">
        <f t="shared" si="1"/>
        <v>13.32318</v>
      </c>
      <c r="L17" s="6">
        <f t="shared" si="7"/>
        <v>282.5602530769804</v>
      </c>
      <c r="M17" s="7">
        <f>CreditCalculations1!B20</f>
        <v>31.962886848318753</v>
      </c>
      <c r="N17" s="7">
        <f>CreditCalculations1!B31</f>
        <v>15.940232729901012</v>
      </c>
      <c r="O17" s="7">
        <f>CreditCalculations1!B9</f>
        <v>62.26563416600726</v>
      </c>
      <c r="P17" s="6">
        <f t="shared" si="8"/>
        <v>3.19</v>
      </c>
      <c r="Q17" s="6">
        <f t="shared" si="2"/>
        <v>169.2014993327534</v>
      </c>
      <c r="R17" s="50">
        <f t="shared" si="9"/>
        <v>2254.3020318801537</v>
      </c>
      <c r="S17" s="62">
        <f t="shared" si="3"/>
      </c>
    </row>
    <row r="18" spans="1:19" ht="24">
      <c r="A18" s="61" t="s">
        <v>50</v>
      </c>
      <c r="B18" s="143"/>
      <c r="C18" s="1" t="s">
        <v>3</v>
      </c>
      <c r="D18" s="5">
        <v>29.8</v>
      </c>
      <c r="E18" s="4">
        <f t="shared" si="4"/>
        <v>14.9</v>
      </c>
      <c r="F18" s="2">
        <v>0.5</v>
      </c>
      <c r="G18" s="4">
        <f t="shared" si="5"/>
        <v>7.45</v>
      </c>
      <c r="H18" s="51">
        <f t="shared" si="6"/>
        <v>0.38</v>
      </c>
      <c r="I18" s="4">
        <f t="shared" si="0"/>
        <v>2.831</v>
      </c>
      <c r="J18" s="4">
        <v>3.21</v>
      </c>
      <c r="K18" s="3">
        <f t="shared" si="1"/>
        <v>9.08751</v>
      </c>
      <c r="L18" s="6">
        <f t="shared" si="7"/>
        <v>282.5602530769804</v>
      </c>
      <c r="M18" s="7">
        <f>CreditCalculations1!B20</f>
        <v>31.962886848318753</v>
      </c>
      <c r="N18" s="7">
        <f>CreditCalculations1!B31</f>
        <v>15.940232729901012</v>
      </c>
      <c r="O18" s="7">
        <f>CreditCalculations1!B9</f>
        <v>62.26563416600726</v>
      </c>
      <c r="P18" s="6">
        <f t="shared" si="8"/>
        <v>3.19</v>
      </c>
      <c r="Q18" s="6">
        <f t="shared" si="2"/>
        <v>169.2014993327534</v>
      </c>
      <c r="R18" s="50">
        <f t="shared" si="9"/>
        <v>1537.6203172013898</v>
      </c>
      <c r="S18" s="62">
        <f t="shared" si="3"/>
      </c>
    </row>
    <row r="19" spans="1:19" ht="15.75">
      <c r="A19" s="61" t="s">
        <v>85</v>
      </c>
      <c r="B19" s="143"/>
      <c r="C19" s="1" t="s">
        <v>3</v>
      </c>
      <c r="D19" s="1">
        <v>88.16</v>
      </c>
      <c r="E19" s="4">
        <f t="shared" si="4"/>
        <v>44.08</v>
      </c>
      <c r="F19" s="2">
        <v>0.4</v>
      </c>
      <c r="G19" s="4">
        <f t="shared" si="5"/>
        <v>17.632</v>
      </c>
      <c r="H19" s="51">
        <f t="shared" si="6"/>
        <v>0.38</v>
      </c>
      <c r="I19" s="4">
        <f t="shared" si="0"/>
        <v>6.70016</v>
      </c>
      <c r="J19" s="4">
        <v>3</v>
      </c>
      <c r="K19" s="3">
        <f t="shared" si="1"/>
        <v>20.10048</v>
      </c>
      <c r="L19" s="6">
        <f t="shared" si="7"/>
        <v>282.5602530769804</v>
      </c>
      <c r="M19" s="7">
        <f>CreditCalculations1!B20</f>
        <v>31.962886848318753</v>
      </c>
      <c r="N19" s="7">
        <f>CreditCalculations1!B31</f>
        <v>15.940232729901012</v>
      </c>
      <c r="O19" s="7">
        <f>CreditCalculations1!B9</f>
        <v>62.26563416600726</v>
      </c>
      <c r="P19" s="6">
        <f t="shared" si="8"/>
        <v>3.19</v>
      </c>
      <c r="Q19" s="6">
        <f t="shared" si="2"/>
        <v>169.2014993327534</v>
      </c>
      <c r="R19" s="50">
        <f t="shared" si="9"/>
        <v>3401.0313533080234</v>
      </c>
      <c r="S19" s="62">
        <f t="shared" si="3"/>
      </c>
    </row>
    <row r="20" spans="1:19" ht="15.75">
      <c r="A20" s="61" t="s">
        <v>4</v>
      </c>
      <c r="B20" s="143"/>
      <c r="C20" s="1" t="s">
        <v>3</v>
      </c>
      <c r="D20" s="1">
        <v>5.06</v>
      </c>
      <c r="E20" s="4">
        <f t="shared" si="4"/>
        <v>2.53</v>
      </c>
      <c r="F20" s="2">
        <v>0.9</v>
      </c>
      <c r="G20" s="4">
        <f t="shared" si="5"/>
        <v>2.2769999999999997</v>
      </c>
      <c r="H20" s="51">
        <f t="shared" si="6"/>
        <v>0.38</v>
      </c>
      <c r="I20" s="4">
        <f t="shared" si="0"/>
        <v>0.8652599999999999</v>
      </c>
      <c r="J20" s="4">
        <v>3.21</v>
      </c>
      <c r="K20" s="3">
        <f t="shared" si="1"/>
        <v>2.7774845999999997</v>
      </c>
      <c r="L20" s="6">
        <f t="shared" si="7"/>
        <v>282.5602530769804</v>
      </c>
      <c r="M20" s="7">
        <f>CreditCalculations1!B20</f>
        <v>31.962886848318753</v>
      </c>
      <c r="N20" s="7">
        <f>CreditCalculations1!B31</f>
        <v>15.940232729901012</v>
      </c>
      <c r="O20" s="7">
        <f>CreditCalculations1!B9</f>
        <v>62.26563416600726</v>
      </c>
      <c r="P20" s="6">
        <f t="shared" si="8"/>
        <v>3.19</v>
      </c>
      <c r="Q20" s="6">
        <f t="shared" si="2"/>
        <v>169.2014993327534</v>
      </c>
      <c r="R20" s="50">
        <f t="shared" si="9"/>
        <v>469.9545586936328</v>
      </c>
      <c r="S20" s="62">
        <f t="shared" si="3"/>
      </c>
    </row>
    <row r="21" spans="1:19" ht="15.75">
      <c r="A21" s="61" t="s">
        <v>81</v>
      </c>
      <c r="B21" s="143"/>
      <c r="C21" s="1" t="s">
        <v>3</v>
      </c>
      <c r="D21" s="1">
        <v>148.15</v>
      </c>
      <c r="E21" s="4">
        <f t="shared" si="4"/>
        <v>74.075</v>
      </c>
      <c r="F21" s="2">
        <v>0.4</v>
      </c>
      <c r="G21" s="4">
        <f t="shared" si="5"/>
        <v>29.630000000000003</v>
      </c>
      <c r="H21" s="51">
        <f t="shared" si="6"/>
        <v>0.38</v>
      </c>
      <c r="I21" s="4">
        <f t="shared" si="0"/>
        <v>11.259400000000001</v>
      </c>
      <c r="J21" s="4">
        <v>1.5</v>
      </c>
      <c r="K21" s="3">
        <f t="shared" si="1"/>
        <v>16.889100000000003</v>
      </c>
      <c r="L21" s="6">
        <f t="shared" si="7"/>
        <v>282.5602530769804</v>
      </c>
      <c r="M21" s="7">
        <f>CreditCalculations1!B20</f>
        <v>31.962886848318753</v>
      </c>
      <c r="N21" s="7">
        <f>CreditCalculations1!B31</f>
        <v>15.940232729901012</v>
      </c>
      <c r="O21" s="7">
        <f>CreditCalculations1!B9</f>
        <v>62.26563416600726</v>
      </c>
      <c r="P21" s="6">
        <f t="shared" si="8"/>
        <v>3.19</v>
      </c>
      <c r="Q21" s="6">
        <f t="shared" si="2"/>
        <v>169.2014993327534</v>
      </c>
      <c r="R21" s="50">
        <f t="shared" si="9"/>
        <v>2857.661042380806</v>
      </c>
      <c r="S21" s="62">
        <f t="shared" si="3"/>
      </c>
    </row>
    <row r="22" spans="1:19" ht="15.75">
      <c r="A22" s="61" t="s">
        <v>18</v>
      </c>
      <c r="B22" s="143"/>
      <c r="C22" s="1" t="s">
        <v>3</v>
      </c>
      <c r="D22" s="1">
        <v>89.95</v>
      </c>
      <c r="E22" s="4">
        <f t="shared" si="4"/>
        <v>44.975</v>
      </c>
      <c r="F22" s="2">
        <v>0.41</v>
      </c>
      <c r="G22" s="4">
        <f t="shared" si="5"/>
        <v>18.43975</v>
      </c>
      <c r="H22" s="51">
        <f t="shared" si="6"/>
        <v>0.38</v>
      </c>
      <c r="I22" s="4">
        <f t="shared" si="0"/>
        <v>7.007105</v>
      </c>
      <c r="J22" s="4">
        <v>2.5</v>
      </c>
      <c r="K22" s="3">
        <f t="shared" si="1"/>
        <v>17.5177625</v>
      </c>
      <c r="L22" s="6">
        <f t="shared" si="7"/>
        <v>282.5602530769804</v>
      </c>
      <c r="M22" s="7">
        <f>CreditCalculations1!B20</f>
        <v>31.962886848318753</v>
      </c>
      <c r="N22" s="7">
        <f>CreditCalculations1!B31</f>
        <v>15.940232729901012</v>
      </c>
      <c r="O22" s="7">
        <f>CreditCalculations1!B9</f>
        <v>62.26563416600726</v>
      </c>
      <c r="P22" s="6">
        <f t="shared" si="8"/>
        <v>3.19</v>
      </c>
      <c r="Q22" s="6">
        <f t="shared" si="2"/>
        <v>169.2014993327534</v>
      </c>
      <c r="R22" s="50">
        <f t="shared" si="9"/>
        <v>2964.0316799550824</v>
      </c>
      <c r="S22" s="62">
        <f t="shared" si="3"/>
      </c>
    </row>
    <row r="23" spans="1:19" ht="15.75">
      <c r="A23" s="61" t="s">
        <v>19</v>
      </c>
      <c r="B23" s="143"/>
      <c r="C23" s="1" t="s">
        <v>3</v>
      </c>
      <c r="D23" s="1">
        <v>127.15</v>
      </c>
      <c r="E23" s="4">
        <f t="shared" si="4"/>
        <v>63.575</v>
      </c>
      <c r="F23" s="2">
        <v>0.42</v>
      </c>
      <c r="G23" s="4">
        <f t="shared" si="5"/>
        <v>26.7015</v>
      </c>
      <c r="H23" s="51">
        <f t="shared" si="6"/>
        <v>0.38</v>
      </c>
      <c r="I23" s="4">
        <f t="shared" si="0"/>
        <v>10.14657</v>
      </c>
      <c r="J23" s="4">
        <v>2</v>
      </c>
      <c r="K23" s="3">
        <f t="shared" si="1"/>
        <v>20.29314</v>
      </c>
      <c r="L23" s="6">
        <f t="shared" si="7"/>
        <v>282.5602530769804</v>
      </c>
      <c r="M23" s="7">
        <f>CreditCalculations1!B20</f>
        <v>31.962886848318753</v>
      </c>
      <c r="N23" s="7">
        <f>CreditCalculations1!B31</f>
        <v>15.940232729901012</v>
      </c>
      <c r="O23" s="7">
        <f>CreditCalculations1!B9</f>
        <v>62.26563416600726</v>
      </c>
      <c r="P23" s="6">
        <f t="shared" si="8"/>
        <v>3.19</v>
      </c>
      <c r="Q23" s="6">
        <f t="shared" si="2"/>
        <v>169.2014993327534</v>
      </c>
      <c r="R23" s="50">
        <f t="shared" si="9"/>
        <v>3433.6297141694713</v>
      </c>
      <c r="S23" s="62">
        <f t="shared" si="3"/>
      </c>
    </row>
    <row r="24" spans="1:19" ht="15.75">
      <c r="A24" s="61" t="s">
        <v>86</v>
      </c>
      <c r="B24" s="143"/>
      <c r="C24" s="1" t="s">
        <v>3</v>
      </c>
      <c r="D24" s="1">
        <v>496.12</v>
      </c>
      <c r="E24" s="4">
        <f t="shared" si="4"/>
        <v>248.06</v>
      </c>
      <c r="F24" s="2">
        <v>0.31</v>
      </c>
      <c r="G24" s="4">
        <f t="shared" si="5"/>
        <v>76.8986</v>
      </c>
      <c r="H24" s="51">
        <f t="shared" si="6"/>
        <v>0.38</v>
      </c>
      <c r="I24" s="4">
        <f t="shared" si="0"/>
        <v>29.221468</v>
      </c>
      <c r="J24" s="4">
        <v>1.5</v>
      </c>
      <c r="K24" s="3">
        <f t="shared" si="1"/>
        <v>43.832202</v>
      </c>
      <c r="L24" s="6">
        <f t="shared" si="7"/>
        <v>282.5602530769804</v>
      </c>
      <c r="M24" s="7">
        <f>CreditCalculations1!B20</f>
        <v>31.962886848318753</v>
      </c>
      <c r="N24" s="7">
        <f>CreditCalculations1!B31</f>
        <v>15.940232729901012</v>
      </c>
      <c r="O24" s="7">
        <f>CreditCalculations1!B9</f>
        <v>62.26563416600726</v>
      </c>
      <c r="P24" s="6">
        <f t="shared" si="8"/>
        <v>3.19</v>
      </c>
      <c r="Q24" s="6">
        <f t="shared" si="2"/>
        <v>169.2014993327534</v>
      </c>
      <c r="R24" s="50">
        <f t="shared" si="9"/>
        <v>7416.474297456112</v>
      </c>
      <c r="S24" s="62">
        <f t="shared" si="3"/>
      </c>
    </row>
    <row r="25" spans="1:19" ht="24">
      <c r="A25" s="61" t="s">
        <v>21</v>
      </c>
      <c r="B25" s="143"/>
      <c r="C25" s="1" t="s">
        <v>22</v>
      </c>
      <c r="D25" s="1">
        <v>40</v>
      </c>
      <c r="E25" s="4">
        <f t="shared" si="4"/>
        <v>20</v>
      </c>
      <c r="F25" s="2">
        <v>0.85</v>
      </c>
      <c r="G25" s="4">
        <f t="shared" si="5"/>
        <v>17</v>
      </c>
      <c r="H25" s="51">
        <f t="shared" si="6"/>
        <v>0.38</v>
      </c>
      <c r="I25" s="4">
        <f t="shared" si="0"/>
        <v>6.46</v>
      </c>
      <c r="J25" s="4">
        <v>3.21</v>
      </c>
      <c r="K25" s="3">
        <f t="shared" si="1"/>
        <v>20.7366</v>
      </c>
      <c r="L25" s="6">
        <f t="shared" si="7"/>
        <v>282.5602530769804</v>
      </c>
      <c r="M25" s="7">
        <f>CreditCalculations1!B20</f>
        <v>31.962886848318753</v>
      </c>
      <c r="N25" s="7">
        <f>CreditCalculations1!B31</f>
        <v>15.940232729901012</v>
      </c>
      <c r="O25" s="7">
        <f>CreditCalculations1!B9</f>
        <v>62.26563416600726</v>
      </c>
      <c r="P25" s="6">
        <f t="shared" si="8"/>
        <v>3.19</v>
      </c>
      <c r="Q25" s="6">
        <f t="shared" si="2"/>
        <v>169.2014993327534</v>
      </c>
      <c r="R25" s="50">
        <f t="shared" si="9"/>
        <v>3508.663811063574</v>
      </c>
      <c r="S25" s="62">
        <f t="shared" si="3"/>
      </c>
    </row>
    <row r="26" spans="1:19" ht="24">
      <c r="A26" s="61" t="s">
        <v>23</v>
      </c>
      <c r="B26" s="143"/>
      <c r="C26" s="1" t="s">
        <v>22</v>
      </c>
      <c r="D26" s="1">
        <v>12.48</v>
      </c>
      <c r="E26" s="4">
        <f t="shared" si="4"/>
        <v>6.24</v>
      </c>
      <c r="F26" s="2">
        <v>0.85</v>
      </c>
      <c r="G26" s="4">
        <f t="shared" si="5"/>
        <v>5.304</v>
      </c>
      <c r="H26" s="51">
        <f t="shared" si="6"/>
        <v>0.38</v>
      </c>
      <c r="I26" s="4">
        <f t="shared" si="0"/>
        <v>2.01552</v>
      </c>
      <c r="J26" s="4">
        <v>3.21</v>
      </c>
      <c r="K26" s="3">
        <f t="shared" si="1"/>
        <v>6.4698192</v>
      </c>
      <c r="L26" s="6">
        <f t="shared" si="7"/>
        <v>282.5602530769804</v>
      </c>
      <c r="M26" s="7">
        <f>CreditCalculations1!B20</f>
        <v>31.962886848318753</v>
      </c>
      <c r="N26" s="7">
        <f>CreditCalculations1!B31</f>
        <v>15.940232729901012</v>
      </c>
      <c r="O26" s="7">
        <f>CreditCalculations1!B9</f>
        <v>62.26563416600726</v>
      </c>
      <c r="P26" s="6">
        <f t="shared" si="8"/>
        <v>3.19</v>
      </c>
      <c r="Q26" s="6">
        <f t="shared" si="2"/>
        <v>169.2014993327534</v>
      </c>
      <c r="R26" s="50">
        <f t="shared" si="9"/>
        <v>1094.703109051835</v>
      </c>
      <c r="S26" s="62">
        <f t="shared" si="3"/>
      </c>
    </row>
    <row r="27" spans="1:19" ht="24">
      <c r="A27" s="61" t="s">
        <v>24</v>
      </c>
      <c r="B27" s="143"/>
      <c r="C27" s="1" t="s">
        <v>22</v>
      </c>
      <c r="D27" s="1">
        <v>108</v>
      </c>
      <c r="E27" s="4">
        <f t="shared" si="4"/>
        <v>54</v>
      </c>
      <c r="F27" s="2">
        <v>0.7</v>
      </c>
      <c r="G27" s="4">
        <f t="shared" si="5"/>
        <v>37.8</v>
      </c>
      <c r="H27" s="51">
        <f t="shared" si="6"/>
        <v>0.38</v>
      </c>
      <c r="I27" s="4">
        <f t="shared" si="0"/>
        <v>14.363999999999999</v>
      </c>
      <c r="J27" s="4">
        <v>1.5</v>
      </c>
      <c r="K27" s="3">
        <f t="shared" si="1"/>
        <v>21.546</v>
      </c>
      <c r="L27" s="6">
        <f t="shared" si="7"/>
        <v>282.5602530769804</v>
      </c>
      <c r="M27" s="7">
        <f>CreditCalculations1!B20</f>
        <v>31.962886848318753</v>
      </c>
      <c r="N27" s="7">
        <f>CreditCalculations1!B31</f>
        <v>15.940232729901012</v>
      </c>
      <c r="O27" s="7">
        <f>CreditCalculations1!B9</f>
        <v>62.26563416600726</v>
      </c>
      <c r="P27" s="6">
        <f t="shared" si="8"/>
        <v>3.19</v>
      </c>
      <c r="Q27" s="6">
        <f t="shared" si="2"/>
        <v>169.2014993327534</v>
      </c>
      <c r="R27" s="50">
        <f t="shared" si="9"/>
        <v>3645.615504623505</v>
      </c>
      <c r="S27" s="62">
        <f t="shared" si="3"/>
      </c>
    </row>
    <row r="28" spans="1:19" ht="15.75">
      <c r="A28" s="63" t="s">
        <v>44</v>
      </c>
      <c r="B28" s="144"/>
      <c r="C28" s="47"/>
      <c r="D28" s="47"/>
      <c r="E28" s="47"/>
      <c r="F28" s="47"/>
      <c r="G28" s="47"/>
      <c r="H28" s="52"/>
      <c r="I28" s="4"/>
      <c r="J28" s="53"/>
      <c r="K28" s="3"/>
      <c r="L28" s="47"/>
      <c r="M28" s="47"/>
      <c r="N28" s="47"/>
      <c r="O28" s="47"/>
      <c r="P28" s="6"/>
      <c r="Q28" s="6"/>
      <c r="R28" s="49"/>
      <c r="S28" s="64">
        <f t="shared" si="3"/>
      </c>
    </row>
    <row r="29" spans="1:19" ht="15.75">
      <c r="A29" s="61" t="s">
        <v>27</v>
      </c>
      <c r="B29" s="143"/>
      <c r="C29" s="1" t="s">
        <v>3</v>
      </c>
      <c r="D29" s="5">
        <v>11.01</v>
      </c>
      <c r="E29" s="4">
        <f>D29/2</f>
        <v>5.505</v>
      </c>
      <c r="F29" s="2">
        <v>0.9</v>
      </c>
      <c r="G29" s="4">
        <f>F29*E29</f>
        <v>4.9545</v>
      </c>
      <c r="H29" s="51">
        <f>$H$5</f>
        <v>0.38</v>
      </c>
      <c r="I29" s="4">
        <f aca="true" t="shared" si="10" ref="I29:I45">G29*H29</f>
        <v>1.88271</v>
      </c>
      <c r="J29" s="3">
        <v>3.97</v>
      </c>
      <c r="K29" s="3">
        <f t="shared" si="1"/>
        <v>7.474358700000001</v>
      </c>
      <c r="L29" s="6">
        <f>$L$5</f>
        <v>282.5602530769804</v>
      </c>
      <c r="M29" s="6">
        <f>CreditCalculations1!B20</f>
        <v>31.962886848318753</v>
      </c>
      <c r="N29" s="6">
        <f>CreditCalculations1!B31</f>
        <v>15.940232729901012</v>
      </c>
      <c r="O29" s="6">
        <f>CreditCalculations1!B9</f>
        <v>62.26563416600726</v>
      </c>
      <c r="P29" s="6">
        <f>P$5</f>
        <v>3.19</v>
      </c>
      <c r="Q29" s="6">
        <f t="shared" si="2"/>
        <v>169.2014993327534</v>
      </c>
      <c r="R29" s="48">
        <f>K29*Q29</f>
        <v>1264.6726985908097</v>
      </c>
      <c r="S29" s="62">
        <f t="shared" si="3"/>
      </c>
    </row>
    <row r="30" spans="1:19" ht="15.75">
      <c r="A30" s="61" t="s">
        <v>29</v>
      </c>
      <c r="B30" s="143"/>
      <c r="C30" s="1" t="s">
        <v>3</v>
      </c>
      <c r="D30" s="1">
        <v>36.13</v>
      </c>
      <c r="E30" s="4">
        <f>D30/2</f>
        <v>18.065</v>
      </c>
      <c r="F30" s="2">
        <v>0.9</v>
      </c>
      <c r="G30" s="4">
        <f>F30*E30</f>
        <v>16.2585</v>
      </c>
      <c r="H30" s="51">
        <f>$H$5</f>
        <v>0.38</v>
      </c>
      <c r="I30" s="4">
        <f t="shared" si="10"/>
        <v>6.178230000000001</v>
      </c>
      <c r="J30" s="3">
        <v>3.97</v>
      </c>
      <c r="K30" s="3">
        <f t="shared" si="1"/>
        <v>24.527573100000005</v>
      </c>
      <c r="L30" s="6">
        <f>$L$5</f>
        <v>282.5602530769804</v>
      </c>
      <c r="M30" s="7">
        <f>CreditCalculations1!B20</f>
        <v>31.962886848318753</v>
      </c>
      <c r="N30" s="7">
        <f>CreditCalculations1!B31</f>
        <v>15.940232729901012</v>
      </c>
      <c r="O30" s="7">
        <f>CreditCalculations1!B9</f>
        <v>62.26563416600726</v>
      </c>
      <c r="P30" s="6">
        <f>P$5</f>
        <v>3.19</v>
      </c>
      <c r="Q30" s="6">
        <f t="shared" si="2"/>
        <v>169.2014993327534</v>
      </c>
      <c r="R30" s="50">
        <f>K30*Q30</f>
        <v>4150.102143513711</v>
      </c>
      <c r="S30" s="62">
        <f t="shared" si="3"/>
      </c>
    </row>
    <row r="31" spans="1:19" ht="15.75">
      <c r="A31" s="61" t="s">
        <v>28</v>
      </c>
      <c r="B31" s="143"/>
      <c r="C31" s="1" t="s">
        <v>3</v>
      </c>
      <c r="D31" s="1">
        <v>27.92</v>
      </c>
      <c r="E31" s="4">
        <f>D31/2</f>
        <v>13.96</v>
      </c>
      <c r="F31" s="2">
        <v>0.9</v>
      </c>
      <c r="G31" s="4">
        <f>F31*E31</f>
        <v>12.564000000000002</v>
      </c>
      <c r="H31" s="51">
        <f>$H$5</f>
        <v>0.38</v>
      </c>
      <c r="I31" s="4">
        <f t="shared" si="10"/>
        <v>4.77432</v>
      </c>
      <c r="J31" s="3">
        <v>3.97</v>
      </c>
      <c r="K31" s="3">
        <f t="shared" si="1"/>
        <v>18.954050400000003</v>
      </c>
      <c r="L31" s="6">
        <f>$L$5</f>
        <v>282.5602530769804</v>
      </c>
      <c r="M31" s="7">
        <f>CreditCalculations1!B20</f>
        <v>31.962886848318753</v>
      </c>
      <c r="N31" s="7">
        <f>CreditCalculations1!B31</f>
        <v>15.940232729901012</v>
      </c>
      <c r="O31" s="7">
        <f>CreditCalculations1!B9</f>
        <v>62.26563416600726</v>
      </c>
      <c r="P31" s="6">
        <f>P$5</f>
        <v>3.19</v>
      </c>
      <c r="Q31" s="6">
        <f t="shared" si="2"/>
        <v>169.2014993327534</v>
      </c>
      <c r="R31" s="50">
        <f>K31*Q31</f>
        <v>3207.053746108575</v>
      </c>
      <c r="S31" s="62">
        <f t="shared" si="3"/>
      </c>
    </row>
    <row r="32" spans="1:19" ht="15.75">
      <c r="A32" s="63" t="s">
        <v>45</v>
      </c>
      <c r="B32" s="144"/>
      <c r="C32" s="47"/>
      <c r="D32" s="47"/>
      <c r="E32" s="47"/>
      <c r="F32" s="47"/>
      <c r="G32" s="47"/>
      <c r="H32" s="52"/>
      <c r="I32" s="4"/>
      <c r="J32" s="53"/>
      <c r="K32" s="3"/>
      <c r="L32" s="47"/>
      <c r="M32" s="47"/>
      <c r="N32" s="47"/>
      <c r="O32" s="47"/>
      <c r="P32" s="6"/>
      <c r="Q32" s="6"/>
      <c r="R32" s="49"/>
      <c r="S32" s="64">
        <f t="shared" si="3"/>
      </c>
    </row>
    <row r="33" spans="1:19" ht="15.75">
      <c r="A33" s="61" t="s">
        <v>33</v>
      </c>
      <c r="B33" s="143"/>
      <c r="C33" s="1" t="s">
        <v>34</v>
      </c>
      <c r="D33" s="1">
        <v>1.29</v>
      </c>
      <c r="E33" s="4">
        <f aca="true" t="shared" si="11" ref="E33:E40">D33/2</f>
        <v>0.645</v>
      </c>
      <c r="F33" s="2">
        <v>0.85</v>
      </c>
      <c r="G33" s="4">
        <f aca="true" t="shared" si="12" ref="G33:G40">F33*E33</f>
        <v>0.54825</v>
      </c>
      <c r="H33" s="51">
        <f aca="true" t="shared" si="13" ref="H33:H40">$H$5</f>
        <v>0.38</v>
      </c>
      <c r="I33" s="4">
        <f t="shared" si="10"/>
        <v>0.20833500000000002</v>
      </c>
      <c r="J33" s="3">
        <v>2</v>
      </c>
      <c r="K33" s="3">
        <f t="shared" si="1"/>
        <v>0.41667000000000004</v>
      </c>
      <c r="L33" s="6">
        <f aca="true" t="shared" si="14" ref="L33:L40">$L$5</f>
        <v>282.5602530769804</v>
      </c>
      <c r="M33" s="6">
        <f>CreditCalculations1!B20</f>
        <v>31.962886848318753</v>
      </c>
      <c r="N33" s="6">
        <f>CreditCalculations1!B31</f>
        <v>15.940232729901012</v>
      </c>
      <c r="O33" s="6">
        <f>CreditCalculations1!B9</f>
        <v>62.26563416600726</v>
      </c>
      <c r="P33" s="6">
        <f aca="true" t="shared" si="15" ref="P33:P40">P$5</f>
        <v>3.19</v>
      </c>
      <c r="Q33" s="6">
        <f t="shared" si="2"/>
        <v>169.2014993327534</v>
      </c>
      <c r="R33" s="48">
        <f aca="true" t="shared" si="16" ref="R33:R40">K33*Q33</f>
        <v>70.50118872697837</v>
      </c>
      <c r="S33" s="62">
        <f t="shared" si="3"/>
      </c>
    </row>
    <row r="34" spans="1:19" ht="15.75">
      <c r="A34" s="61" t="s">
        <v>51</v>
      </c>
      <c r="B34" s="143"/>
      <c r="C34" s="1" t="s">
        <v>34</v>
      </c>
      <c r="D34" s="1">
        <v>1.62</v>
      </c>
      <c r="E34" s="4">
        <f t="shared" si="11"/>
        <v>0.81</v>
      </c>
      <c r="F34" s="2">
        <v>0.85</v>
      </c>
      <c r="G34" s="4">
        <f t="shared" si="12"/>
        <v>0.6885</v>
      </c>
      <c r="H34" s="51">
        <f t="shared" si="13"/>
        <v>0.38</v>
      </c>
      <c r="I34" s="4">
        <f t="shared" si="10"/>
        <v>0.26163000000000003</v>
      </c>
      <c r="J34" s="3">
        <v>2.5</v>
      </c>
      <c r="K34" s="3">
        <f t="shared" si="1"/>
        <v>0.6540750000000001</v>
      </c>
      <c r="L34" s="6">
        <f t="shared" si="14"/>
        <v>282.5602530769804</v>
      </c>
      <c r="M34" s="6">
        <f>CreditCalculations1!B20</f>
        <v>31.962886848318753</v>
      </c>
      <c r="N34" s="6">
        <f>CreditCalculations1!B31</f>
        <v>15.940232729901012</v>
      </c>
      <c r="O34" s="6">
        <f>CreditCalculations1!B9</f>
        <v>62.26563416600726</v>
      </c>
      <c r="P34" s="6">
        <f t="shared" si="15"/>
        <v>3.19</v>
      </c>
      <c r="Q34" s="6">
        <f t="shared" si="2"/>
        <v>169.2014993327534</v>
      </c>
      <c r="R34" s="48">
        <f t="shared" si="16"/>
        <v>110.67047067607069</v>
      </c>
      <c r="S34" s="62">
        <f t="shared" si="3"/>
      </c>
    </row>
    <row r="35" spans="1:19" ht="15.75">
      <c r="A35" s="61" t="s">
        <v>52</v>
      </c>
      <c r="B35" s="143"/>
      <c r="C35" s="1" t="s">
        <v>34</v>
      </c>
      <c r="D35" s="1">
        <v>1.2</v>
      </c>
      <c r="E35" s="4">
        <f t="shared" si="11"/>
        <v>0.6</v>
      </c>
      <c r="F35" s="2">
        <v>1</v>
      </c>
      <c r="G35" s="4">
        <f t="shared" si="12"/>
        <v>0.6</v>
      </c>
      <c r="H35" s="51">
        <f t="shared" si="13"/>
        <v>0.38</v>
      </c>
      <c r="I35" s="4">
        <f t="shared" si="10"/>
        <v>0.22799999999999998</v>
      </c>
      <c r="J35" s="3">
        <v>3.36</v>
      </c>
      <c r="K35" s="3">
        <f t="shared" si="1"/>
        <v>0.7660799999999999</v>
      </c>
      <c r="L35" s="6">
        <f t="shared" si="14"/>
        <v>282.5602530769804</v>
      </c>
      <c r="M35" s="6">
        <f>CreditCalculations1!B20</f>
        <v>31.962886848318753</v>
      </c>
      <c r="N35" s="6">
        <f>CreditCalculations1!B31</f>
        <v>15.940232729901012</v>
      </c>
      <c r="O35" s="6">
        <f>CreditCalculations1!B9</f>
        <v>62.26563416600726</v>
      </c>
      <c r="P35" s="6">
        <f t="shared" si="15"/>
        <v>3.19</v>
      </c>
      <c r="Q35" s="6">
        <f t="shared" si="2"/>
        <v>169.2014993327534</v>
      </c>
      <c r="R35" s="48">
        <f t="shared" si="16"/>
        <v>129.6218846088357</v>
      </c>
      <c r="S35" s="62">
        <f t="shared" si="3"/>
      </c>
    </row>
    <row r="36" spans="1:19" ht="15.75">
      <c r="A36" s="61" t="s">
        <v>53</v>
      </c>
      <c r="B36" s="143"/>
      <c r="C36" s="1" t="s">
        <v>3</v>
      </c>
      <c r="D36" s="1">
        <v>9.11</v>
      </c>
      <c r="E36" s="4">
        <f t="shared" si="11"/>
        <v>4.555</v>
      </c>
      <c r="F36" s="2">
        <v>1</v>
      </c>
      <c r="G36" s="4">
        <f t="shared" si="12"/>
        <v>4.555</v>
      </c>
      <c r="H36" s="51">
        <f t="shared" si="13"/>
        <v>0.38</v>
      </c>
      <c r="I36" s="4">
        <f t="shared" si="10"/>
        <v>1.7308999999999999</v>
      </c>
      <c r="J36" s="3">
        <v>3.36</v>
      </c>
      <c r="K36" s="3">
        <f t="shared" si="1"/>
        <v>5.815823999999999</v>
      </c>
      <c r="L36" s="6">
        <f t="shared" si="14"/>
        <v>282.5602530769804</v>
      </c>
      <c r="M36" s="6">
        <f>CreditCalculations1!B20</f>
        <v>31.962886848318753</v>
      </c>
      <c r="N36" s="6">
        <f>CreditCalculations1!B31</f>
        <v>15.940232729901012</v>
      </c>
      <c r="O36" s="6">
        <f>CreditCalculations1!B9</f>
        <v>62.26563416600726</v>
      </c>
      <c r="P36" s="6">
        <f t="shared" si="15"/>
        <v>3.19</v>
      </c>
      <c r="Q36" s="6">
        <f t="shared" si="2"/>
        <v>169.2014993327534</v>
      </c>
      <c r="R36" s="48">
        <f t="shared" si="16"/>
        <v>984.046140655411</v>
      </c>
      <c r="S36" s="62">
        <f t="shared" si="3"/>
      </c>
    </row>
    <row r="37" spans="1:19" ht="15.75">
      <c r="A37" s="61" t="s">
        <v>32</v>
      </c>
      <c r="B37" s="143"/>
      <c r="C37" s="1" t="s">
        <v>3</v>
      </c>
      <c r="D37" s="1">
        <v>79.26</v>
      </c>
      <c r="E37" s="4">
        <f t="shared" si="11"/>
        <v>39.63</v>
      </c>
      <c r="F37" s="2">
        <v>0.15</v>
      </c>
      <c r="G37" s="4">
        <f t="shared" si="12"/>
        <v>5.944500000000001</v>
      </c>
      <c r="H37" s="51">
        <f t="shared" si="13"/>
        <v>0.38</v>
      </c>
      <c r="I37" s="4">
        <f t="shared" si="10"/>
        <v>2.25891</v>
      </c>
      <c r="J37" s="3">
        <v>1.5</v>
      </c>
      <c r="K37" s="3">
        <f t="shared" si="1"/>
        <v>3.3883650000000003</v>
      </c>
      <c r="L37" s="6">
        <f t="shared" si="14"/>
        <v>282.5602530769804</v>
      </c>
      <c r="M37" s="6">
        <f>CreditCalculations1!B20</f>
        <v>31.962886848318753</v>
      </c>
      <c r="N37" s="6">
        <f>CreditCalculations1!B31</f>
        <v>15.940232729901012</v>
      </c>
      <c r="O37" s="6">
        <f>CreditCalculations1!B9</f>
        <v>62.26563416600726</v>
      </c>
      <c r="P37" s="6">
        <f t="shared" si="15"/>
        <v>3.19</v>
      </c>
      <c r="Q37" s="6">
        <f t="shared" si="2"/>
        <v>169.2014993327534</v>
      </c>
      <c r="R37" s="48">
        <f t="shared" si="16"/>
        <v>573.316438286625</v>
      </c>
      <c r="S37" s="62">
        <f t="shared" si="3"/>
      </c>
    </row>
    <row r="38" spans="1:19" ht="15.75">
      <c r="A38" s="61" t="s">
        <v>54</v>
      </c>
      <c r="B38" s="143"/>
      <c r="C38" s="1" t="s">
        <v>3</v>
      </c>
      <c r="D38" s="1">
        <v>17.57</v>
      </c>
      <c r="E38" s="4">
        <f t="shared" si="11"/>
        <v>8.785</v>
      </c>
      <c r="F38" s="2">
        <v>1</v>
      </c>
      <c r="G38" s="4">
        <f t="shared" si="12"/>
        <v>8.785</v>
      </c>
      <c r="H38" s="51">
        <f t="shared" si="13"/>
        <v>0.38</v>
      </c>
      <c r="I38" s="4">
        <f t="shared" si="10"/>
        <v>3.3383000000000003</v>
      </c>
      <c r="J38" s="3">
        <v>3.36</v>
      </c>
      <c r="K38" s="3">
        <f t="shared" si="1"/>
        <v>11.216688000000001</v>
      </c>
      <c r="L38" s="6">
        <f t="shared" si="14"/>
        <v>282.5602530769804</v>
      </c>
      <c r="M38" s="7">
        <f>CreditCalculations1!B20</f>
        <v>31.962886848318753</v>
      </c>
      <c r="N38" s="7">
        <f>CreditCalculations1!B31</f>
        <v>15.940232729901012</v>
      </c>
      <c r="O38" s="7">
        <f>CreditCalculations1!B9</f>
        <v>62.26563416600726</v>
      </c>
      <c r="P38" s="6">
        <f t="shared" si="15"/>
        <v>3.19</v>
      </c>
      <c r="Q38" s="6">
        <f t="shared" si="2"/>
        <v>169.2014993327534</v>
      </c>
      <c r="R38" s="50">
        <f t="shared" si="16"/>
        <v>1897.8804271477034</v>
      </c>
      <c r="S38" s="62">
        <f t="shared" si="3"/>
      </c>
    </row>
    <row r="39" spans="1:19" ht="15.75">
      <c r="A39" s="61" t="s">
        <v>5</v>
      </c>
      <c r="B39" s="143"/>
      <c r="C39" s="1" t="s">
        <v>31</v>
      </c>
      <c r="D39" s="1">
        <v>2.37</v>
      </c>
      <c r="E39" s="4">
        <f t="shared" si="11"/>
        <v>1.185</v>
      </c>
      <c r="F39" s="2">
        <v>1</v>
      </c>
      <c r="G39" s="4">
        <f t="shared" si="12"/>
        <v>1.185</v>
      </c>
      <c r="H39" s="51">
        <f t="shared" si="13"/>
        <v>0.38</v>
      </c>
      <c r="I39" s="4">
        <f t="shared" si="10"/>
        <v>0.45030000000000003</v>
      </c>
      <c r="J39" s="3">
        <v>3.36</v>
      </c>
      <c r="K39" s="3">
        <f t="shared" si="1"/>
        <v>1.5130080000000001</v>
      </c>
      <c r="L39" s="6">
        <f t="shared" si="14"/>
        <v>282.5602530769804</v>
      </c>
      <c r="M39" s="7">
        <f>CreditCalculations1!B20</f>
        <v>31.962886848318753</v>
      </c>
      <c r="N39" s="7">
        <f>CreditCalculations1!B31</f>
        <v>15.940232729901012</v>
      </c>
      <c r="O39" s="7">
        <f>CreditCalculations1!B9</f>
        <v>62.26563416600726</v>
      </c>
      <c r="P39" s="6">
        <f t="shared" si="15"/>
        <v>3.19</v>
      </c>
      <c r="Q39" s="6">
        <f t="shared" si="2"/>
        <v>169.2014993327534</v>
      </c>
      <c r="R39" s="50">
        <f t="shared" si="16"/>
        <v>256.0032221024506</v>
      </c>
      <c r="S39" s="62">
        <f t="shared" si="3"/>
      </c>
    </row>
    <row r="40" spans="1:19" ht="15.75">
      <c r="A40" s="61" t="s">
        <v>30</v>
      </c>
      <c r="B40" s="143"/>
      <c r="C40" s="1" t="s">
        <v>3</v>
      </c>
      <c r="D40" s="1">
        <v>31.45</v>
      </c>
      <c r="E40" s="4">
        <f t="shared" si="11"/>
        <v>15.725</v>
      </c>
      <c r="F40" s="2">
        <v>1</v>
      </c>
      <c r="G40" s="4">
        <f t="shared" si="12"/>
        <v>15.725</v>
      </c>
      <c r="H40" s="51">
        <f t="shared" si="13"/>
        <v>0.38</v>
      </c>
      <c r="I40" s="4">
        <f t="shared" si="10"/>
        <v>5.9755</v>
      </c>
      <c r="J40" s="3">
        <v>3.36</v>
      </c>
      <c r="K40" s="3">
        <f t="shared" si="1"/>
        <v>20.07768</v>
      </c>
      <c r="L40" s="6">
        <f t="shared" si="14"/>
        <v>282.5602530769804</v>
      </c>
      <c r="M40" s="7">
        <f>CreditCalculations1!B20</f>
        <v>31.962886848318753</v>
      </c>
      <c r="N40" s="7">
        <f>CreditCalculations1!B31</f>
        <v>15.940232729901012</v>
      </c>
      <c r="O40" s="7">
        <f>CreditCalculations1!B9</f>
        <v>62.26563416600726</v>
      </c>
      <c r="P40" s="6">
        <f t="shared" si="15"/>
        <v>3.19</v>
      </c>
      <c r="Q40" s="6">
        <f t="shared" si="2"/>
        <v>169.2014993327534</v>
      </c>
      <c r="R40" s="50">
        <f t="shared" si="16"/>
        <v>3397.1735591232364</v>
      </c>
      <c r="S40" s="62">
        <f t="shared" si="3"/>
      </c>
    </row>
    <row r="41" spans="1:19" ht="15.75">
      <c r="A41" s="65" t="s">
        <v>6</v>
      </c>
      <c r="B41" s="145"/>
      <c r="C41" s="66"/>
      <c r="D41" s="66"/>
      <c r="E41" s="66"/>
      <c r="F41" s="66"/>
      <c r="G41" s="66"/>
      <c r="H41" s="149"/>
      <c r="I41" s="150"/>
      <c r="J41" s="151"/>
      <c r="K41" s="152"/>
      <c r="L41" s="54"/>
      <c r="M41" s="54"/>
      <c r="N41" s="54"/>
      <c r="O41" s="54"/>
      <c r="P41" s="153"/>
      <c r="Q41" s="153"/>
      <c r="R41" s="154"/>
      <c r="S41" s="67">
        <f t="shared" si="3"/>
      </c>
    </row>
    <row r="42" spans="1:19" ht="15.75">
      <c r="A42" s="68" t="s">
        <v>35</v>
      </c>
      <c r="B42" s="146"/>
      <c r="C42" s="1" t="s">
        <v>3</v>
      </c>
      <c r="D42" s="1">
        <v>6.97</v>
      </c>
      <c r="E42" s="4">
        <f>D42/2</f>
        <v>3.485</v>
      </c>
      <c r="F42" s="2">
        <v>1</v>
      </c>
      <c r="G42" s="4">
        <f>F42*E42</f>
        <v>3.485</v>
      </c>
      <c r="H42" s="51">
        <f>$H$5</f>
        <v>0.38</v>
      </c>
      <c r="I42" s="4">
        <f t="shared" si="10"/>
        <v>1.3243</v>
      </c>
      <c r="J42" s="3">
        <v>3.97</v>
      </c>
      <c r="K42" s="3">
        <f t="shared" si="1"/>
        <v>5.257471000000001</v>
      </c>
      <c r="L42" s="6">
        <f>$L$5</f>
        <v>282.5602530769804</v>
      </c>
      <c r="M42" s="6">
        <f>CreditCalculations1!B20</f>
        <v>31.962886848318753</v>
      </c>
      <c r="N42" s="6">
        <f>CreditCalculations1!B31</f>
        <v>15.940232729901012</v>
      </c>
      <c r="O42" s="6">
        <f>CreditCalculations1!B9</f>
        <v>62.26563416600726</v>
      </c>
      <c r="P42" s="6">
        <f>P$5</f>
        <v>3.19</v>
      </c>
      <c r="Q42" s="6">
        <f t="shared" si="2"/>
        <v>169.2014993327534</v>
      </c>
      <c r="R42" s="48">
        <f>K42*Q42</f>
        <v>889.5719758984704</v>
      </c>
      <c r="S42" s="62">
        <f t="shared" si="3"/>
      </c>
    </row>
    <row r="43" spans="1:19" ht="24">
      <c r="A43" s="61" t="s">
        <v>55</v>
      </c>
      <c r="B43" s="143"/>
      <c r="C43" s="1" t="s">
        <v>3</v>
      </c>
      <c r="D43" s="1">
        <v>1.5</v>
      </c>
      <c r="E43" s="4">
        <f>D43/2</f>
        <v>0.75</v>
      </c>
      <c r="F43" s="2">
        <v>1</v>
      </c>
      <c r="G43" s="4">
        <f>F43*E43</f>
        <v>0.75</v>
      </c>
      <c r="H43" s="51">
        <f>$H$5</f>
        <v>0.38</v>
      </c>
      <c r="I43" s="4">
        <f t="shared" si="10"/>
        <v>0.28500000000000003</v>
      </c>
      <c r="J43" s="3">
        <v>3.97</v>
      </c>
      <c r="K43" s="3">
        <f t="shared" si="1"/>
        <v>1.1314500000000003</v>
      </c>
      <c r="L43" s="6">
        <f>$L$5</f>
        <v>282.5602530769804</v>
      </c>
      <c r="M43" s="7">
        <f>CreditCalculations1!B20</f>
        <v>31.962886848318753</v>
      </c>
      <c r="N43" s="7">
        <f>CreditCalculations1!B31</f>
        <v>15.940232729901012</v>
      </c>
      <c r="O43" s="7">
        <f>CreditCalculations1!B9</f>
        <v>62.26563416600726</v>
      </c>
      <c r="P43" s="6">
        <f>P$5</f>
        <v>3.19</v>
      </c>
      <c r="Q43" s="6">
        <f t="shared" si="2"/>
        <v>169.2014993327534</v>
      </c>
      <c r="R43" s="50">
        <f>K43*Q43</f>
        <v>191.44303642004388</v>
      </c>
      <c r="S43" s="62">
        <f t="shared" si="3"/>
      </c>
    </row>
    <row r="44" spans="1:19" ht="15.75">
      <c r="A44" s="61" t="s">
        <v>36</v>
      </c>
      <c r="B44" s="143"/>
      <c r="C44" s="1" t="s">
        <v>3</v>
      </c>
      <c r="D44" s="1">
        <v>4.96</v>
      </c>
      <c r="E44" s="4">
        <f>D44/2</f>
        <v>2.48</v>
      </c>
      <c r="F44" s="2">
        <v>1</v>
      </c>
      <c r="G44" s="4">
        <f>F44*E44</f>
        <v>2.48</v>
      </c>
      <c r="H44" s="51">
        <f>$H$5</f>
        <v>0.38</v>
      </c>
      <c r="I44" s="4">
        <f t="shared" si="10"/>
        <v>0.9424</v>
      </c>
      <c r="J44" s="3">
        <v>3.97</v>
      </c>
      <c r="K44" s="3">
        <f t="shared" si="1"/>
        <v>3.741328</v>
      </c>
      <c r="L44" s="6">
        <f>$L$5</f>
        <v>282.5602530769804</v>
      </c>
      <c r="M44" s="7">
        <f>CreditCalculations1!B20</f>
        <v>31.962886848318753</v>
      </c>
      <c r="N44" s="7">
        <f>CreditCalculations1!B31</f>
        <v>15.940232729901012</v>
      </c>
      <c r="O44" s="7">
        <f>CreditCalculations1!B9</f>
        <v>62.26563416600726</v>
      </c>
      <c r="P44" s="6">
        <f>P$5</f>
        <v>3.19</v>
      </c>
      <c r="Q44" s="6">
        <f t="shared" si="2"/>
        <v>169.2014993327534</v>
      </c>
      <c r="R44" s="50">
        <f>K44*Q44</f>
        <v>633.0383070956117</v>
      </c>
      <c r="S44" s="62">
        <f t="shared" si="3"/>
      </c>
    </row>
    <row r="45" spans="1:19" ht="16.5" thickBot="1">
      <c r="A45" s="155" t="s">
        <v>7</v>
      </c>
      <c r="B45" s="167"/>
      <c r="C45" s="156" t="s">
        <v>3</v>
      </c>
      <c r="D45" s="157">
        <v>2.5</v>
      </c>
      <c r="E45" s="158">
        <f>D45/2</f>
        <v>1.25</v>
      </c>
      <c r="F45" s="159">
        <v>1</v>
      </c>
      <c r="G45" s="158">
        <f>F45*E45</f>
        <v>1.25</v>
      </c>
      <c r="H45" s="160">
        <f>$H$5</f>
        <v>0.38</v>
      </c>
      <c r="I45" s="158">
        <f t="shared" si="10"/>
        <v>0.475</v>
      </c>
      <c r="J45" s="161">
        <v>3.97</v>
      </c>
      <c r="K45" s="161">
        <f t="shared" si="1"/>
        <v>1.88575</v>
      </c>
      <c r="L45" s="162">
        <f>$L$5</f>
        <v>282.5602530769804</v>
      </c>
      <c r="M45" s="163">
        <f>CreditCalculations1!B20</f>
        <v>31.962886848318753</v>
      </c>
      <c r="N45" s="163">
        <f>CreditCalculations1!B31</f>
        <v>15.940232729901012</v>
      </c>
      <c r="O45" s="163">
        <f>CreditCalculations1!B9</f>
        <v>62.26563416600726</v>
      </c>
      <c r="P45" s="162">
        <f>P$5</f>
        <v>3.19</v>
      </c>
      <c r="Q45" s="162">
        <f t="shared" si="2"/>
        <v>169.2014993327534</v>
      </c>
      <c r="R45" s="164">
        <f>K45*Q45</f>
        <v>319.0717273667397</v>
      </c>
      <c r="S45" s="165">
        <f t="shared" si="3"/>
      </c>
    </row>
    <row r="46" spans="1:19" ht="22.5" customHeight="1" thickBot="1">
      <c r="A46" s="175" t="s">
        <v>92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80"/>
      <c r="O46" s="80"/>
      <c r="P46" s="80"/>
      <c r="Q46" s="80"/>
      <c r="R46" s="166" t="s">
        <v>101</v>
      </c>
      <c r="S46" s="81">
        <f>SUM(S4:S45)</f>
        <v>0</v>
      </c>
    </row>
    <row r="47" spans="1:2" ht="12.75">
      <c r="A47" s="82"/>
      <c r="B47" s="82"/>
    </row>
  </sheetData>
  <sheetProtection sheet="1" objects="1" scenarios="1"/>
  <mergeCells count="2">
    <mergeCell ref="A46:M46"/>
    <mergeCell ref="A1:S2"/>
  </mergeCells>
  <printOptions/>
  <pageMargins left="0.44" right="0.75" top="0.55" bottom="0.46" header="0.67" footer="0.23"/>
  <pageSetup fitToHeight="1" fitToWidth="1" horizontalDpi="600" verticalDpi="600" orientation="landscape" scale="54" r:id="rId1"/>
  <headerFooter alignWithMargins="0">
    <oddFooter>&amp;LBeaufort County, SC&amp;CRoad Impact Fee Calculation
Hilton Head-Daufuskie&amp;ROctober 24, 2006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view="pageBreakPreview" zoomScale="75" zoomScaleNormal="75" zoomScaleSheetLayoutView="75" zoomScalePageLayoutView="0" workbookViewId="0" topLeftCell="A21">
      <selection activeCell="C20" sqref="C20"/>
    </sheetView>
  </sheetViews>
  <sheetFormatPr defaultColWidth="9.140625" defaultRowHeight="12.75"/>
  <cols>
    <col min="1" max="1" width="11.57421875" style="0" customWidth="1"/>
    <col min="2" max="2" width="76.140625" style="0" customWidth="1"/>
    <col min="3" max="3" width="17.00390625" style="0" customWidth="1"/>
    <col min="4" max="4" width="14.140625" style="0" customWidth="1"/>
    <col min="5" max="5" width="18.8515625" style="0" customWidth="1"/>
    <col min="6" max="6" width="19.140625" style="0" customWidth="1"/>
    <col min="7" max="7" width="17.57421875" style="0" customWidth="1"/>
  </cols>
  <sheetData>
    <row r="1" spans="1:7" ht="35.25">
      <c r="A1" s="177" t="s">
        <v>102</v>
      </c>
      <c r="B1" s="178"/>
      <c r="C1" s="178"/>
      <c r="D1" s="178"/>
      <c r="E1" s="178"/>
      <c r="F1" s="178"/>
      <c r="G1" s="178"/>
    </row>
    <row r="2" spans="1:7" ht="30.75">
      <c r="A2" s="179" t="s">
        <v>103</v>
      </c>
      <c r="B2" s="178"/>
      <c r="C2" s="178"/>
      <c r="D2" s="178"/>
      <c r="E2" s="178"/>
      <c r="F2" s="178"/>
      <c r="G2" s="178"/>
    </row>
    <row r="3" spans="1:7" ht="30.75">
      <c r="A3" s="83" t="s">
        <v>135</v>
      </c>
      <c r="B3" s="83"/>
      <c r="C3" s="84"/>
      <c r="D3" s="84"/>
      <c r="E3" s="84"/>
      <c r="F3" s="84"/>
      <c r="G3" s="84"/>
    </row>
    <row r="4" spans="1:7" ht="19.5" thickBot="1">
      <c r="A4" s="88"/>
      <c r="B4" s="85"/>
      <c r="C4" s="86"/>
      <c r="D4" s="86"/>
      <c r="E4" s="87"/>
      <c r="F4" s="87"/>
      <c r="G4" s="87"/>
    </row>
    <row r="5" spans="1:7" ht="16.5" thickTop="1">
      <c r="A5" s="130"/>
      <c r="B5" s="89"/>
      <c r="C5" s="90" t="s">
        <v>104</v>
      </c>
      <c r="D5" s="91"/>
      <c r="E5" s="92" t="s">
        <v>108</v>
      </c>
      <c r="F5" s="93" t="s">
        <v>105</v>
      </c>
      <c r="G5" s="127" t="s">
        <v>105</v>
      </c>
    </row>
    <row r="6" spans="1:7" ht="15.75">
      <c r="A6" s="131" t="s">
        <v>106</v>
      </c>
      <c r="B6" s="94" t="s">
        <v>107</v>
      </c>
      <c r="C6" s="95" t="s">
        <v>121</v>
      </c>
      <c r="D6" s="96" t="s">
        <v>1</v>
      </c>
      <c r="E6" s="97" t="s">
        <v>111</v>
      </c>
      <c r="F6" s="98" t="s">
        <v>109</v>
      </c>
      <c r="G6" s="128" t="s">
        <v>109</v>
      </c>
    </row>
    <row r="7" spans="1:7" ht="15.75">
      <c r="A7" s="131" t="s">
        <v>110</v>
      </c>
      <c r="B7" s="99"/>
      <c r="C7" s="95" t="s">
        <v>122</v>
      </c>
      <c r="D7" s="96"/>
      <c r="E7" s="97" t="s">
        <v>113</v>
      </c>
      <c r="F7" s="98" t="s">
        <v>112</v>
      </c>
      <c r="G7" s="128"/>
    </row>
    <row r="8" spans="1:7" ht="16.5" thickBot="1">
      <c r="A8" s="132"/>
      <c r="B8" s="100"/>
      <c r="C8" s="101" t="s">
        <v>137</v>
      </c>
      <c r="D8" s="102"/>
      <c r="E8" s="103" t="s">
        <v>123</v>
      </c>
      <c r="F8" s="104"/>
      <c r="G8" s="129"/>
    </row>
    <row r="9" spans="1:7" ht="17.25" thickTop="1">
      <c r="A9" s="133"/>
      <c r="B9" s="122" t="s">
        <v>9</v>
      </c>
      <c r="C9" s="142"/>
      <c r="D9" s="123"/>
      <c r="E9" s="123"/>
      <c r="F9" s="123"/>
      <c r="G9" s="124">
        <f>IF(E9="","",E9*F9)</f>
      </c>
    </row>
    <row r="10" spans="1:7" ht="16.5">
      <c r="A10" s="133">
        <v>210</v>
      </c>
      <c r="B10" s="61" t="s">
        <v>15</v>
      </c>
      <c r="C10" s="143"/>
      <c r="D10" s="1" t="s">
        <v>2</v>
      </c>
      <c r="E10" s="1">
        <v>9.57</v>
      </c>
      <c r="F10" s="2">
        <v>1</v>
      </c>
      <c r="G10" s="125">
        <f>IF(C10="","",E10*F10*C10)</f>
      </c>
    </row>
    <row r="11" spans="1:7" ht="16.5">
      <c r="A11" s="134">
        <v>220</v>
      </c>
      <c r="B11" s="61" t="s">
        <v>39</v>
      </c>
      <c r="C11" s="143"/>
      <c r="D11" s="1" t="s">
        <v>2</v>
      </c>
      <c r="E11" s="1">
        <v>6.72</v>
      </c>
      <c r="F11" s="2">
        <v>1</v>
      </c>
      <c r="G11" s="125">
        <f aca="true" t="shared" si="0" ref="G11:G52">IF(C11="","",E11*F11*C11)</f>
      </c>
    </row>
    <row r="12" spans="1:7" ht="16.5">
      <c r="A12" s="134">
        <v>230</v>
      </c>
      <c r="B12" s="61" t="s">
        <v>82</v>
      </c>
      <c r="C12" s="143"/>
      <c r="D12" s="1" t="s">
        <v>2</v>
      </c>
      <c r="E12" s="1">
        <v>5.86</v>
      </c>
      <c r="F12" s="2">
        <v>1</v>
      </c>
      <c r="G12" s="125">
        <f t="shared" si="0"/>
      </c>
    </row>
    <row r="13" spans="1:7" ht="16.5">
      <c r="A13" s="134" t="s">
        <v>126</v>
      </c>
      <c r="B13" s="61" t="s">
        <v>46</v>
      </c>
      <c r="C13" s="143"/>
      <c r="D13" s="1" t="s">
        <v>2</v>
      </c>
      <c r="E13" s="1">
        <v>3.48</v>
      </c>
      <c r="F13" s="2">
        <v>1</v>
      </c>
      <c r="G13" s="125">
        <f t="shared" si="0"/>
      </c>
    </row>
    <row r="14" spans="1:7" ht="16.5">
      <c r="A14" s="134" t="s">
        <v>125</v>
      </c>
      <c r="B14" s="61" t="s">
        <v>47</v>
      </c>
      <c r="C14" s="143"/>
      <c r="D14" s="1" t="s">
        <v>31</v>
      </c>
      <c r="E14" s="1">
        <v>2.81</v>
      </c>
      <c r="F14" s="2">
        <v>1</v>
      </c>
      <c r="G14" s="125">
        <f t="shared" si="0"/>
      </c>
    </row>
    <row r="15" spans="1:7" ht="16.5">
      <c r="A15" s="133"/>
      <c r="B15" s="63" t="s">
        <v>40</v>
      </c>
      <c r="C15" s="144"/>
      <c r="D15" s="47"/>
      <c r="E15" s="47"/>
      <c r="F15" s="47"/>
      <c r="G15" s="125">
        <f t="shared" si="0"/>
      </c>
    </row>
    <row r="16" spans="1:7" ht="16.5">
      <c r="A16" s="134" t="s">
        <v>124</v>
      </c>
      <c r="B16" s="61" t="s">
        <v>41</v>
      </c>
      <c r="C16" s="143"/>
      <c r="D16" s="1" t="s">
        <v>42</v>
      </c>
      <c r="E16" s="1">
        <v>8.17</v>
      </c>
      <c r="F16" s="2">
        <v>1</v>
      </c>
      <c r="G16" s="125">
        <f t="shared" si="0"/>
      </c>
    </row>
    <row r="17" spans="1:7" ht="16.5">
      <c r="A17" s="134"/>
      <c r="B17" s="63" t="s">
        <v>43</v>
      </c>
      <c r="C17" s="144"/>
      <c r="D17" s="47"/>
      <c r="E17" s="47"/>
      <c r="F17" s="47"/>
      <c r="G17" s="125">
        <f t="shared" si="0"/>
      </c>
    </row>
    <row r="18" spans="1:7" ht="16.5">
      <c r="A18" s="134">
        <v>430</v>
      </c>
      <c r="B18" s="61" t="s">
        <v>25</v>
      </c>
      <c r="C18" s="143"/>
      <c r="D18" s="1" t="s">
        <v>26</v>
      </c>
      <c r="E18" s="1">
        <v>35.74</v>
      </c>
      <c r="F18" s="2">
        <v>0.9</v>
      </c>
      <c r="G18" s="125">
        <f t="shared" si="0"/>
      </c>
    </row>
    <row r="19" spans="1:7" ht="16.5">
      <c r="A19" s="134">
        <v>445</v>
      </c>
      <c r="B19" s="61" t="s">
        <v>48</v>
      </c>
      <c r="C19" s="143"/>
      <c r="D19" s="1" t="s">
        <v>17</v>
      </c>
      <c r="E19" s="1">
        <v>146.3</v>
      </c>
      <c r="F19" s="2">
        <v>0.9</v>
      </c>
      <c r="G19" s="125">
        <f t="shared" si="0"/>
      </c>
    </row>
    <row r="20" spans="1:7" ht="24">
      <c r="A20" s="134">
        <v>492</v>
      </c>
      <c r="B20" s="61" t="s">
        <v>142</v>
      </c>
      <c r="C20" s="143"/>
      <c r="D20" s="1" t="s">
        <v>143</v>
      </c>
      <c r="E20" s="5">
        <v>32.93</v>
      </c>
      <c r="F20" s="2">
        <v>0.56</v>
      </c>
      <c r="G20" s="125">
        <f>IF(C20="","",E20*F20*C20)</f>
      </c>
    </row>
    <row r="21" spans="1:7" ht="16.5">
      <c r="A21" s="134">
        <v>820</v>
      </c>
      <c r="B21" s="61" t="s">
        <v>49</v>
      </c>
      <c r="C21" s="143"/>
      <c r="D21" s="1" t="s">
        <v>3</v>
      </c>
      <c r="E21" s="5">
        <v>42.94</v>
      </c>
      <c r="F21" s="2">
        <v>0.56</v>
      </c>
      <c r="G21" s="125">
        <f t="shared" si="0"/>
      </c>
    </row>
    <row r="22" spans="1:7" ht="16.5">
      <c r="A22" s="134">
        <v>841</v>
      </c>
      <c r="B22" s="61" t="s">
        <v>20</v>
      </c>
      <c r="C22" s="143"/>
      <c r="D22" s="1" t="s">
        <v>3</v>
      </c>
      <c r="E22" s="1">
        <v>33.34</v>
      </c>
      <c r="F22" s="2">
        <v>0.9</v>
      </c>
      <c r="G22" s="125">
        <f t="shared" si="0"/>
      </c>
    </row>
    <row r="23" spans="1:7" ht="16.5">
      <c r="A23" s="134">
        <v>851</v>
      </c>
      <c r="B23" s="61" t="s">
        <v>83</v>
      </c>
      <c r="C23" s="143"/>
      <c r="D23" s="1" t="s">
        <v>3</v>
      </c>
      <c r="E23" s="1">
        <v>460.05</v>
      </c>
      <c r="F23" s="2">
        <v>0.26</v>
      </c>
      <c r="G23" s="125">
        <f t="shared" si="0"/>
      </c>
    </row>
    <row r="24" spans="1:7" ht="16.5">
      <c r="A24" s="134">
        <v>853</v>
      </c>
      <c r="B24" s="61" t="s">
        <v>84</v>
      </c>
      <c r="C24" s="143"/>
      <c r="D24" s="1" t="s">
        <v>16</v>
      </c>
      <c r="E24" s="1">
        <v>179.8</v>
      </c>
      <c r="F24" s="2">
        <v>0.26</v>
      </c>
      <c r="G24" s="125">
        <f t="shared" si="0"/>
      </c>
    </row>
    <row r="25" spans="1:7" ht="16.5">
      <c r="A25" s="134">
        <v>862</v>
      </c>
      <c r="B25" s="61" t="s">
        <v>50</v>
      </c>
      <c r="C25" s="143"/>
      <c r="D25" s="1" t="s">
        <v>3</v>
      </c>
      <c r="E25" s="5">
        <v>29.8</v>
      </c>
      <c r="F25" s="2">
        <v>0.5</v>
      </c>
      <c r="G25" s="125">
        <f t="shared" si="0"/>
      </c>
    </row>
    <row r="26" spans="1:7" ht="16.5">
      <c r="A26" s="134">
        <v>881</v>
      </c>
      <c r="B26" s="61" t="s">
        <v>85</v>
      </c>
      <c r="C26" s="143"/>
      <c r="D26" s="1" t="s">
        <v>3</v>
      </c>
      <c r="E26" s="1">
        <v>88.16</v>
      </c>
      <c r="F26" s="2">
        <v>0.4</v>
      </c>
      <c r="G26" s="125">
        <f t="shared" si="0"/>
      </c>
    </row>
    <row r="27" spans="1:7" ht="16.5">
      <c r="A27" s="134">
        <v>890</v>
      </c>
      <c r="B27" s="61" t="s">
        <v>4</v>
      </c>
      <c r="C27" s="143"/>
      <c r="D27" s="1" t="s">
        <v>3</v>
      </c>
      <c r="E27" s="1">
        <v>5.06</v>
      </c>
      <c r="F27" s="2">
        <v>0.9</v>
      </c>
      <c r="G27" s="125">
        <f t="shared" si="0"/>
      </c>
    </row>
    <row r="28" spans="1:7" ht="16.5">
      <c r="A28" s="134">
        <v>912</v>
      </c>
      <c r="B28" s="61" t="s">
        <v>81</v>
      </c>
      <c r="C28" s="143"/>
      <c r="D28" s="1" t="s">
        <v>3</v>
      </c>
      <c r="E28" s="1">
        <v>148.15</v>
      </c>
      <c r="F28" s="2">
        <v>0.4</v>
      </c>
      <c r="G28" s="125">
        <f t="shared" si="0"/>
      </c>
    </row>
    <row r="29" spans="1:7" ht="16.5">
      <c r="A29" s="134">
        <v>931</v>
      </c>
      <c r="B29" s="61" t="s">
        <v>18</v>
      </c>
      <c r="C29" s="143"/>
      <c r="D29" s="1" t="s">
        <v>3</v>
      </c>
      <c r="E29" s="1">
        <v>89.95</v>
      </c>
      <c r="F29" s="2">
        <v>0.41</v>
      </c>
      <c r="G29" s="125">
        <f t="shared" si="0"/>
      </c>
    </row>
    <row r="30" spans="1:7" ht="16.5">
      <c r="A30" s="134">
        <v>932</v>
      </c>
      <c r="B30" s="61" t="s">
        <v>19</v>
      </c>
      <c r="C30" s="143"/>
      <c r="D30" s="1" t="s">
        <v>3</v>
      </c>
      <c r="E30" s="1">
        <v>127.15</v>
      </c>
      <c r="F30" s="2">
        <v>0.42</v>
      </c>
      <c r="G30" s="125">
        <f t="shared" si="0"/>
      </c>
    </row>
    <row r="31" spans="1:7" ht="16.5">
      <c r="A31" s="134">
        <v>934</v>
      </c>
      <c r="B31" s="61" t="s">
        <v>86</v>
      </c>
      <c r="C31" s="143"/>
      <c r="D31" s="1" t="s">
        <v>3</v>
      </c>
      <c r="E31" s="1">
        <v>496.12</v>
      </c>
      <c r="F31" s="2">
        <v>0.31</v>
      </c>
      <c r="G31" s="125">
        <f t="shared" si="0"/>
      </c>
    </row>
    <row r="32" spans="1:7" ht="16.5">
      <c r="A32" s="134">
        <v>941</v>
      </c>
      <c r="B32" s="61" t="s">
        <v>21</v>
      </c>
      <c r="C32" s="143"/>
      <c r="D32" s="1" t="s">
        <v>22</v>
      </c>
      <c r="E32" s="1">
        <v>40</v>
      </c>
      <c r="F32" s="2">
        <v>0.85</v>
      </c>
      <c r="G32" s="125">
        <f t="shared" si="0"/>
      </c>
    </row>
    <row r="33" spans="1:7" ht="16.5">
      <c r="A33" s="134">
        <v>942</v>
      </c>
      <c r="B33" s="61" t="s">
        <v>23</v>
      </c>
      <c r="C33" s="143"/>
      <c r="D33" s="1" t="s">
        <v>22</v>
      </c>
      <c r="E33" s="1">
        <v>12.48</v>
      </c>
      <c r="F33" s="2">
        <v>0.85</v>
      </c>
      <c r="G33" s="125">
        <f t="shared" si="0"/>
      </c>
    </row>
    <row r="34" spans="1:7" ht="16.5">
      <c r="A34" s="134">
        <v>947</v>
      </c>
      <c r="B34" s="61" t="s">
        <v>24</v>
      </c>
      <c r="C34" s="143"/>
      <c r="D34" s="1" t="s">
        <v>22</v>
      </c>
      <c r="E34" s="1">
        <v>108</v>
      </c>
      <c r="F34" s="2">
        <v>0.7</v>
      </c>
      <c r="G34" s="125">
        <f t="shared" si="0"/>
      </c>
    </row>
    <row r="35" spans="1:7" ht="16.5">
      <c r="A35" s="134"/>
      <c r="B35" s="63" t="s">
        <v>44</v>
      </c>
      <c r="C35" s="144"/>
      <c r="D35" s="47"/>
      <c r="E35" s="47"/>
      <c r="F35" s="47"/>
      <c r="G35" s="125">
        <f t="shared" si="0"/>
      </c>
    </row>
    <row r="36" spans="1:7" ht="16.5">
      <c r="A36" s="134">
        <v>710</v>
      </c>
      <c r="B36" s="61" t="s">
        <v>27</v>
      </c>
      <c r="C36" s="143"/>
      <c r="D36" s="1" t="s">
        <v>3</v>
      </c>
      <c r="E36" s="5">
        <v>11.01</v>
      </c>
      <c r="F36" s="2">
        <v>0.9</v>
      </c>
      <c r="G36" s="125">
        <f t="shared" si="0"/>
      </c>
    </row>
    <row r="37" spans="1:7" ht="16.5">
      <c r="A37" s="134">
        <v>720</v>
      </c>
      <c r="B37" s="61" t="s">
        <v>29</v>
      </c>
      <c r="C37" s="143"/>
      <c r="D37" s="1" t="s">
        <v>3</v>
      </c>
      <c r="E37" s="1">
        <v>36.13</v>
      </c>
      <c r="F37" s="2">
        <v>0.9</v>
      </c>
      <c r="G37" s="125">
        <f t="shared" si="0"/>
      </c>
    </row>
    <row r="38" spans="1:7" ht="16.5">
      <c r="A38" s="134">
        <v>733</v>
      </c>
      <c r="B38" s="61" t="s">
        <v>28</v>
      </c>
      <c r="C38" s="143"/>
      <c r="D38" s="1" t="s">
        <v>3</v>
      </c>
      <c r="E38" s="1">
        <v>27.92</v>
      </c>
      <c r="F38" s="2">
        <v>0.9</v>
      </c>
      <c r="G38" s="125">
        <f t="shared" si="0"/>
      </c>
    </row>
    <row r="39" spans="1:7" ht="16.5">
      <c r="A39" s="134"/>
      <c r="B39" s="63" t="s">
        <v>45</v>
      </c>
      <c r="C39" s="144"/>
      <c r="D39" s="47"/>
      <c r="E39" s="47"/>
      <c r="F39" s="47"/>
      <c r="G39" s="125">
        <f t="shared" si="0"/>
      </c>
    </row>
    <row r="40" spans="1:7" ht="16.5">
      <c r="A40" s="134">
        <v>520</v>
      </c>
      <c r="B40" s="61" t="s">
        <v>33</v>
      </c>
      <c r="C40" s="143"/>
      <c r="D40" s="1" t="s">
        <v>34</v>
      </c>
      <c r="E40" s="1">
        <v>1.29</v>
      </c>
      <c r="F40" s="2">
        <v>0.85</v>
      </c>
      <c r="G40" s="125">
        <f t="shared" si="0"/>
      </c>
    </row>
    <row r="41" spans="1:7" ht="16.5">
      <c r="A41" s="134">
        <v>522</v>
      </c>
      <c r="B41" s="61" t="s">
        <v>51</v>
      </c>
      <c r="C41" s="143"/>
      <c r="D41" s="1" t="s">
        <v>34</v>
      </c>
      <c r="E41" s="1">
        <v>1.62</v>
      </c>
      <c r="F41" s="2">
        <v>0.85</v>
      </c>
      <c r="G41" s="125">
        <f t="shared" si="0"/>
      </c>
    </row>
    <row r="42" spans="1:7" ht="16.5">
      <c r="A42" s="134" t="s">
        <v>127</v>
      </c>
      <c r="B42" s="61" t="s">
        <v>52</v>
      </c>
      <c r="C42" s="143"/>
      <c r="D42" s="1" t="s">
        <v>34</v>
      </c>
      <c r="E42" s="1">
        <v>1.2</v>
      </c>
      <c r="F42" s="2">
        <v>1</v>
      </c>
      <c r="G42" s="125">
        <f t="shared" si="0"/>
      </c>
    </row>
    <row r="43" spans="1:7" ht="16.5">
      <c r="A43" s="134" t="s">
        <v>128</v>
      </c>
      <c r="B43" s="61" t="s">
        <v>53</v>
      </c>
      <c r="C43" s="143"/>
      <c r="D43" s="1" t="s">
        <v>3</v>
      </c>
      <c r="E43" s="1">
        <v>9.11</v>
      </c>
      <c r="F43" s="2">
        <v>1</v>
      </c>
      <c r="G43" s="125">
        <f t="shared" si="0"/>
      </c>
    </row>
    <row r="44" spans="1:7" ht="16.5">
      <c r="A44" s="134">
        <v>565</v>
      </c>
      <c r="B44" s="61" t="s">
        <v>32</v>
      </c>
      <c r="C44" s="143"/>
      <c r="D44" s="1" t="s">
        <v>3</v>
      </c>
      <c r="E44" s="1">
        <v>79.26</v>
      </c>
      <c r="F44" s="2">
        <v>0.15</v>
      </c>
      <c r="G44" s="125">
        <f t="shared" si="0"/>
      </c>
    </row>
    <row r="45" spans="1:7" ht="16.5">
      <c r="A45" s="134">
        <v>610</v>
      </c>
      <c r="B45" s="61" t="s">
        <v>54</v>
      </c>
      <c r="C45" s="143"/>
      <c r="D45" s="1" t="s">
        <v>3</v>
      </c>
      <c r="E45" s="1">
        <v>17.57</v>
      </c>
      <c r="F45" s="2">
        <v>1</v>
      </c>
      <c r="G45" s="125">
        <f t="shared" si="0"/>
      </c>
    </row>
    <row r="46" spans="1:7" ht="16.5">
      <c r="A46" s="134">
        <v>620</v>
      </c>
      <c r="B46" s="61" t="s">
        <v>5</v>
      </c>
      <c r="C46" s="143"/>
      <c r="D46" s="1" t="s">
        <v>31</v>
      </c>
      <c r="E46" s="1">
        <v>2.37</v>
      </c>
      <c r="F46" s="2">
        <v>1</v>
      </c>
      <c r="G46" s="125">
        <f t="shared" si="0"/>
      </c>
    </row>
    <row r="47" spans="1:7" ht="16.5">
      <c r="A47" s="134">
        <v>630</v>
      </c>
      <c r="B47" s="61" t="s">
        <v>30</v>
      </c>
      <c r="C47" s="143"/>
      <c r="D47" s="1" t="s">
        <v>3</v>
      </c>
      <c r="E47" s="1">
        <v>31.45</v>
      </c>
      <c r="F47" s="2">
        <v>1</v>
      </c>
      <c r="G47" s="125">
        <f t="shared" si="0"/>
      </c>
    </row>
    <row r="48" spans="1:7" ht="16.5">
      <c r="A48" s="134"/>
      <c r="B48" s="65" t="s">
        <v>6</v>
      </c>
      <c r="C48" s="145"/>
      <c r="D48" s="66"/>
      <c r="E48" s="66"/>
      <c r="F48" s="66"/>
      <c r="G48" s="125">
        <f t="shared" si="0"/>
      </c>
    </row>
    <row r="49" spans="1:7" ht="16.5">
      <c r="A49" s="134">
        <v>110</v>
      </c>
      <c r="B49" s="68" t="s">
        <v>35</v>
      </c>
      <c r="C49" s="146"/>
      <c r="D49" s="1" t="s">
        <v>3</v>
      </c>
      <c r="E49" s="1">
        <v>6.97</v>
      </c>
      <c r="F49" s="2">
        <v>1</v>
      </c>
      <c r="G49" s="125">
        <f t="shared" si="0"/>
      </c>
    </row>
    <row r="50" spans="1:7" ht="16.5">
      <c r="A50" s="134" t="s">
        <v>129</v>
      </c>
      <c r="B50" s="61" t="s">
        <v>55</v>
      </c>
      <c r="C50" s="143"/>
      <c r="D50" s="1" t="s">
        <v>3</v>
      </c>
      <c r="E50" s="1">
        <v>1.5</v>
      </c>
      <c r="F50" s="2">
        <v>1</v>
      </c>
      <c r="G50" s="125">
        <f t="shared" si="0"/>
      </c>
    </row>
    <row r="51" spans="1:7" ht="16.5">
      <c r="A51" s="134">
        <v>150</v>
      </c>
      <c r="B51" s="61" t="s">
        <v>36</v>
      </c>
      <c r="C51" s="143"/>
      <c r="D51" s="1" t="s">
        <v>3</v>
      </c>
      <c r="E51" s="1">
        <v>4.96</v>
      </c>
      <c r="F51" s="2">
        <v>1</v>
      </c>
      <c r="G51" s="125">
        <f t="shared" si="0"/>
      </c>
    </row>
    <row r="52" spans="1:7" ht="17.25" thickBot="1">
      <c r="A52" s="135">
        <v>151</v>
      </c>
      <c r="B52" s="69" t="s">
        <v>7</v>
      </c>
      <c r="C52" s="147"/>
      <c r="D52" s="70" t="s">
        <v>3</v>
      </c>
      <c r="E52" s="71">
        <v>2.5</v>
      </c>
      <c r="F52" s="73">
        <v>1</v>
      </c>
      <c r="G52" s="126">
        <f t="shared" si="0"/>
      </c>
    </row>
    <row r="53" spans="1:7" ht="9.75" customHeight="1" thickBot="1">
      <c r="A53" s="136"/>
      <c r="B53" s="137"/>
      <c r="C53" s="138"/>
      <c r="D53" s="138"/>
      <c r="E53" s="139"/>
      <c r="F53" s="140"/>
      <c r="G53" s="141"/>
    </row>
    <row r="54" spans="1:7" ht="24" thickTop="1">
      <c r="A54" s="105"/>
      <c r="B54" s="106" t="s">
        <v>134</v>
      </c>
      <c r="C54" s="107"/>
      <c r="D54" s="107"/>
      <c r="E54" s="115"/>
      <c r="F54" s="115"/>
      <c r="G54" s="115">
        <f>SUM(G9:G53)</f>
        <v>0</v>
      </c>
    </row>
    <row r="55" spans="3:7" ht="13.5" customHeight="1">
      <c r="C55" s="110"/>
      <c r="D55" s="110"/>
      <c r="E55" s="116"/>
      <c r="F55" s="117"/>
      <c r="G55" s="117"/>
    </row>
    <row r="56" spans="3:7" ht="23.25">
      <c r="C56" s="111" t="s">
        <v>114</v>
      </c>
      <c r="D56" s="111"/>
      <c r="E56" s="118">
        <v>81</v>
      </c>
      <c r="F56" s="117"/>
      <c r="G56" s="117"/>
    </row>
    <row r="57" spans="3:7" ht="15.75" customHeight="1">
      <c r="C57" s="111" t="s">
        <v>115</v>
      </c>
      <c r="D57" s="111"/>
      <c r="E57" s="119"/>
      <c r="F57" s="117"/>
      <c r="G57" s="117"/>
    </row>
    <row r="58" spans="3:7" ht="24" thickBot="1">
      <c r="C58" s="111" t="s">
        <v>116</v>
      </c>
      <c r="D58" s="111"/>
      <c r="E58" s="120">
        <f>G54*E56</f>
        <v>0</v>
      </c>
      <c r="F58" s="121"/>
      <c r="G58" s="117"/>
    </row>
    <row r="59" spans="3:5" ht="7.5" customHeight="1" thickTop="1">
      <c r="C59" s="108"/>
      <c r="D59" s="108"/>
      <c r="E59" s="109"/>
    </row>
    <row r="60" spans="2:5" ht="16.5" customHeight="1">
      <c r="B60" t="s">
        <v>136</v>
      </c>
      <c r="C60" s="108"/>
      <c r="D60" s="108"/>
      <c r="E60" s="109"/>
    </row>
    <row r="61" spans="2:5" ht="15.75">
      <c r="B61" s="112" t="s">
        <v>130</v>
      </c>
      <c r="C61" s="113"/>
      <c r="D61" s="113"/>
      <c r="E61" s="114"/>
    </row>
    <row r="62" ht="12.75">
      <c r="B62" t="s">
        <v>117</v>
      </c>
    </row>
    <row r="63" ht="12.75">
      <c r="B63" t="s">
        <v>118</v>
      </c>
    </row>
    <row r="64" ht="12.75">
      <c r="B64" t="s">
        <v>119</v>
      </c>
    </row>
    <row r="65" ht="12.75">
      <c r="B65" t="s">
        <v>120</v>
      </c>
    </row>
  </sheetData>
  <sheetProtection sheet="1" objects="1" scenarios="1"/>
  <mergeCells count="2">
    <mergeCell ref="A1:G1"/>
    <mergeCell ref="A2:G2"/>
  </mergeCells>
  <printOptions/>
  <pageMargins left="0.75" right="0.75" top="1" bottom="1" header="0.5" footer="0.5"/>
  <pageSetup horizontalDpi="300" verticalDpi="300" orientation="portrait" scale="52" r:id="rId1"/>
  <headerFooter alignWithMargins="0">
    <oddFooter>&amp;LBeaufort County&amp;CRoad Impact Fee Calculation
Northern Beaufort County
&amp;ROctober 24, 2006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1.140625" style="0" bestFit="1" customWidth="1"/>
  </cols>
  <sheetData>
    <row r="1" ht="12.75">
      <c r="A1" s="43">
        <v>239560000</v>
      </c>
    </row>
    <row r="2" ht="12.75">
      <c r="A2" s="43">
        <v>840340</v>
      </c>
    </row>
    <row r="3" spans="1:2" ht="12.75">
      <c r="A3" s="44">
        <f>A1/A2</f>
        <v>285.0750886545922</v>
      </c>
      <c r="B3" t="s">
        <v>88</v>
      </c>
    </row>
    <row r="4" ht="12.75">
      <c r="A4" s="43"/>
    </row>
    <row r="6" ht="12.75">
      <c r="A6" s="43">
        <f>A1</f>
        <v>239560000</v>
      </c>
    </row>
    <row r="7" spans="1:2" ht="13.5" thickBot="1">
      <c r="A7" s="45">
        <v>150000000</v>
      </c>
      <c r="B7" t="s">
        <v>89</v>
      </c>
    </row>
    <row r="8" ht="13.5" thickTop="1">
      <c r="A8" s="43">
        <f>SUM(A6:A7)</f>
        <v>389560000</v>
      </c>
    </row>
    <row r="10" ht="12.75">
      <c r="A10" s="43">
        <f>A2</f>
        <v>840340</v>
      </c>
    </row>
    <row r="11" ht="13.5" thickBot="1">
      <c r="A11" s="45">
        <v>69240</v>
      </c>
    </row>
    <row r="12" ht="13.5" thickTop="1">
      <c r="A12" s="43">
        <f>SUM(A10:A11)</f>
        <v>909580</v>
      </c>
    </row>
    <row r="14" spans="1:2" ht="12.75">
      <c r="A14" s="44">
        <f>A8/A12</f>
        <v>428.2855823566921</v>
      </c>
      <c r="B14" t="s">
        <v>90</v>
      </c>
    </row>
    <row r="17" ht="12.75">
      <c r="A17" s="43">
        <v>231160000</v>
      </c>
    </row>
    <row r="18" ht="12.75">
      <c r="A18" s="43">
        <v>818091</v>
      </c>
    </row>
    <row r="19" spans="1:2" ht="12.75">
      <c r="A19" s="44">
        <f>A17/A18</f>
        <v>282.5602530769804</v>
      </c>
      <c r="B19" t="s">
        <v>138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8.28125" style="0" bestFit="1" customWidth="1"/>
    <col min="2" max="2" width="12.28125" style="0" customWidth="1"/>
    <col min="4" max="4" width="27.57421875" style="0" customWidth="1"/>
    <col min="5" max="5" width="21.421875" style="0" customWidth="1"/>
    <col min="6" max="6" width="15.00390625" style="0" bestFit="1" customWidth="1"/>
  </cols>
  <sheetData>
    <row r="1" spans="1:4" ht="13.5" thickBot="1">
      <c r="A1" s="11" t="s">
        <v>57</v>
      </c>
      <c r="B1" s="12"/>
      <c r="D1" s="10" t="s">
        <v>71</v>
      </c>
    </row>
    <row r="2" spans="1:2" ht="13.5" thickBot="1">
      <c r="A2" t="s">
        <v>58</v>
      </c>
      <c r="B2" s="8" t="s">
        <v>59</v>
      </c>
    </row>
    <row r="3" spans="1:5" ht="15">
      <c r="A3" t="s">
        <v>60</v>
      </c>
      <c r="B3" s="8">
        <v>6</v>
      </c>
      <c r="D3" s="17">
        <v>38838</v>
      </c>
      <c r="E3" s="18">
        <v>0.0459</v>
      </c>
    </row>
    <row r="4" spans="1:5" ht="15">
      <c r="A4" t="s">
        <v>61</v>
      </c>
      <c r="B4" s="9">
        <v>77600000</v>
      </c>
      <c r="D4" s="19">
        <v>38869</v>
      </c>
      <c r="E4" s="20">
        <v>0.046</v>
      </c>
    </row>
    <row r="5" spans="1:5" ht="15">
      <c r="A5" t="s">
        <v>62</v>
      </c>
      <c r="B5" s="13">
        <f>B4/B3</f>
        <v>12933333.333333334</v>
      </c>
      <c r="D5" s="19">
        <v>38899</v>
      </c>
      <c r="E5" s="20">
        <v>0.0461</v>
      </c>
    </row>
    <row r="6" spans="1:5" ht="15">
      <c r="A6" t="s">
        <v>63</v>
      </c>
      <c r="B6" s="15">
        <f>E9</f>
        <v>1067905</v>
      </c>
      <c r="D6" s="21" t="s">
        <v>67</v>
      </c>
      <c r="E6" s="22">
        <f>AVERAGE(E3:E5)</f>
        <v>0.046000000000000006</v>
      </c>
    </row>
    <row r="7" spans="1:5" ht="13.5" thickBot="1">
      <c r="A7" t="s">
        <v>64</v>
      </c>
      <c r="B7" s="14">
        <f>B5/B6</f>
        <v>12.110939955645243</v>
      </c>
      <c r="D7" s="23" t="s">
        <v>66</v>
      </c>
      <c r="E7" s="24"/>
    </row>
    <row r="8" spans="1:2" ht="13.5" thickBot="1">
      <c r="A8" t="s">
        <v>65</v>
      </c>
      <c r="B8" s="16">
        <f>E6</f>
        <v>0.046000000000000006</v>
      </c>
    </row>
    <row r="9" spans="1:5" ht="13.5" thickBot="1">
      <c r="A9" s="28" t="s">
        <v>68</v>
      </c>
      <c r="B9" s="30">
        <f>-PV(B8,B3,B7)</f>
        <v>62.26563416600726</v>
      </c>
      <c r="D9" s="25" t="s">
        <v>12</v>
      </c>
      <c r="E9" s="26">
        <v>1067905</v>
      </c>
    </row>
    <row r="10" ht="12.75">
      <c r="B10" s="8"/>
    </row>
    <row r="11" ht="12.75">
      <c r="B11" s="8"/>
    </row>
    <row r="12" spans="1:2" ht="13.5" thickBot="1">
      <c r="A12" s="180" t="s">
        <v>76</v>
      </c>
      <c r="B12" s="181"/>
    </row>
    <row r="13" spans="1:6" ht="13.5" thickBot="1">
      <c r="A13" t="s">
        <v>58</v>
      </c>
      <c r="B13" s="8" t="s">
        <v>69</v>
      </c>
      <c r="C13" s="27"/>
      <c r="D13" s="36"/>
      <c r="E13" s="36"/>
      <c r="F13" s="36"/>
    </row>
    <row r="14" spans="1:6" ht="13.5" thickBot="1">
      <c r="A14" t="s">
        <v>60</v>
      </c>
      <c r="B14" s="8">
        <v>20</v>
      </c>
      <c r="D14" s="25" t="s">
        <v>80</v>
      </c>
      <c r="E14" s="41"/>
      <c r="F14" s="42"/>
    </row>
    <row r="15" spans="1:6" ht="12.75">
      <c r="A15" t="s">
        <v>78</v>
      </c>
      <c r="B15" s="9">
        <f>F19</f>
        <v>52936505.199999996</v>
      </c>
      <c r="D15" s="32"/>
      <c r="E15" s="33" t="s">
        <v>77</v>
      </c>
      <c r="F15" s="37">
        <v>66560842</v>
      </c>
    </row>
    <row r="16" spans="1:6" ht="12.75">
      <c r="A16" t="s">
        <v>70</v>
      </c>
      <c r="B16" s="13">
        <f>B15/B14</f>
        <v>2646825.26</v>
      </c>
      <c r="D16" s="32"/>
      <c r="E16" s="33" t="s">
        <v>79</v>
      </c>
      <c r="F16" s="34">
        <v>0.6</v>
      </c>
    </row>
    <row r="17" spans="1:6" ht="12.75">
      <c r="A17" t="s">
        <v>63</v>
      </c>
      <c r="B17" s="15">
        <f>E9</f>
        <v>1067905</v>
      </c>
      <c r="D17" s="32"/>
      <c r="E17" s="33" t="s">
        <v>78</v>
      </c>
      <c r="F17" s="38">
        <f>F15*F16</f>
        <v>39936505.199999996</v>
      </c>
    </row>
    <row r="18" spans="1:6" ht="12.75">
      <c r="A18" t="s">
        <v>74</v>
      </c>
      <c r="B18" s="14">
        <f>B16/B17</f>
        <v>2.4785212729596733</v>
      </c>
      <c r="D18" s="32"/>
      <c r="E18" s="33" t="s">
        <v>87</v>
      </c>
      <c r="F18" s="40">
        <v>13000000</v>
      </c>
    </row>
    <row r="19" spans="1:6" ht="13.5" thickBot="1">
      <c r="A19" t="s">
        <v>65</v>
      </c>
      <c r="B19" s="16">
        <f>E6</f>
        <v>0.046000000000000006</v>
      </c>
      <c r="D19" s="35"/>
      <c r="E19" s="12"/>
      <c r="F19" s="39">
        <f>F17+F18</f>
        <v>52936505.199999996</v>
      </c>
    </row>
    <row r="20" spans="1:4" ht="12.75">
      <c r="A20" s="28" t="s">
        <v>68</v>
      </c>
      <c r="B20" s="29">
        <f>-PV(B19,B14,B18)</f>
        <v>31.962886848318753</v>
      </c>
      <c r="D20" s="31"/>
    </row>
    <row r="21" ht="12.75">
      <c r="B21" s="8"/>
    </row>
    <row r="23" spans="1:2" ht="13.5" thickBot="1">
      <c r="A23" s="180" t="s">
        <v>56</v>
      </c>
      <c r="B23" s="181"/>
    </row>
    <row r="24" spans="1:2" ht="12.75">
      <c r="A24" t="s">
        <v>58</v>
      </c>
      <c r="B24" s="8" t="s">
        <v>69</v>
      </c>
    </row>
    <row r="25" spans="1:2" ht="12.75">
      <c r="A25" t="s">
        <v>60</v>
      </c>
      <c r="B25" s="8">
        <v>20</v>
      </c>
    </row>
    <row r="26" spans="1:2" ht="12.75">
      <c r="A26" t="s">
        <v>72</v>
      </c>
      <c r="B26" s="9">
        <f>B27*20</f>
        <v>26400000</v>
      </c>
    </row>
    <row r="27" spans="1:2" ht="12.75">
      <c r="A27" t="s">
        <v>73</v>
      </c>
      <c r="B27" s="13">
        <v>1320000</v>
      </c>
    </row>
    <row r="28" spans="1:2" ht="12.75">
      <c r="A28" t="s">
        <v>63</v>
      </c>
      <c r="B28" s="15">
        <f>E9</f>
        <v>1067905</v>
      </c>
    </row>
    <row r="29" spans="1:2" ht="12.75">
      <c r="A29" t="s">
        <v>75</v>
      </c>
      <c r="B29" s="14">
        <f>B27/B28</f>
        <v>1.2360650057823495</v>
      </c>
    </row>
    <row r="30" spans="1:2" ht="12.75">
      <c r="A30" t="s">
        <v>65</v>
      </c>
      <c r="B30" s="16">
        <f>E6</f>
        <v>0.046000000000000006</v>
      </c>
    </row>
    <row r="31" spans="1:2" ht="12.75">
      <c r="A31" s="28" t="s">
        <v>68</v>
      </c>
      <c r="B31" s="29">
        <f>-PV(B30,B25,B29)</f>
        <v>15.940232729901012</v>
      </c>
    </row>
  </sheetData>
  <sheetProtection sheet="1" objects="1" scenarios="1"/>
  <mergeCells count="2">
    <mergeCell ref="A12:B12"/>
    <mergeCell ref="A23:B23"/>
  </mergeCells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Footer>&amp;LBeaufort County Impact Fee Project&amp;CRoad Impact Fee Credits
Credit Calculation 1&amp;RAugust 28, 2006
Clarion Associates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Clairion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Reception</dc:creator>
  <cp:keywords/>
  <dc:description/>
  <cp:lastModifiedBy>cgurley</cp:lastModifiedBy>
  <cp:lastPrinted>2009-03-19T21:20:29Z</cp:lastPrinted>
  <dcterms:created xsi:type="dcterms:W3CDTF">2001-08-23T16:54:43Z</dcterms:created>
  <dcterms:modified xsi:type="dcterms:W3CDTF">2010-11-08T19:17:31Z</dcterms:modified>
  <cp:category/>
  <cp:version/>
  <cp:contentType/>
  <cp:contentStatus/>
</cp:coreProperties>
</file>